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arahGrant/Desktop/"/>
    </mc:Choice>
  </mc:AlternateContent>
  <xr:revisionPtr revIDLastSave="0" documentId="8_{42A6A900-9F36-4B4A-BFA0-8E954C2797FB}" xr6:coauthVersionLast="43" xr6:coauthVersionMax="43" xr10:uidLastSave="{00000000-0000-0000-0000-000000000000}"/>
  <bookViews>
    <workbookView xWindow="10420" yWindow="800" windowWidth="25540" windowHeight="16060" xr2:uid="{00000000-000D-0000-FFFF-FFFF00000000}"/>
  </bookViews>
  <sheets>
    <sheet name="FY20 Budget" sheetId="3" r:id="rId1"/>
    <sheet name="Sheet1" sheetId="4" r:id="rId2"/>
  </sheets>
  <definedNames>
    <definedName name="_xlnm.Print_Area" localSheetId="0">'FY20 Budget'!$A$1:$E$133</definedName>
    <definedName name="_xlnm.Print_Titles" localSheetId="0">'FY20 Budget'!$4:$4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4" l="1"/>
  <c r="B4" i="4"/>
  <c r="E112" i="3"/>
  <c r="B3" i="4"/>
  <c r="B10" i="4"/>
  <c r="E91" i="3"/>
  <c r="E100" i="3"/>
  <c r="B5" i="4"/>
  <c r="B2" i="4"/>
  <c r="B6" i="4"/>
  <c r="E53" i="3"/>
  <c r="E67" i="3"/>
  <c r="E80" i="3"/>
  <c r="E81" i="3"/>
  <c r="C53" i="3"/>
  <c r="B55" i="3"/>
  <c r="C55" i="3"/>
  <c r="B56" i="3"/>
  <c r="C56" i="3"/>
  <c r="B57" i="3"/>
  <c r="C57" i="3"/>
  <c r="B58" i="3"/>
  <c r="C58" i="3"/>
  <c r="B59" i="3"/>
  <c r="C59" i="3"/>
  <c r="B60" i="3"/>
  <c r="C60" i="3"/>
  <c r="B63" i="3"/>
  <c r="C63" i="3"/>
  <c r="B64" i="3"/>
  <c r="C64" i="3"/>
  <c r="B65" i="3"/>
  <c r="C65" i="3"/>
  <c r="B66" i="3"/>
  <c r="C66" i="3"/>
  <c r="C67" i="3"/>
  <c r="C68" i="3"/>
  <c r="C80" i="3"/>
  <c r="C81" i="3"/>
  <c r="E33" i="3"/>
  <c r="C114" i="3"/>
  <c r="C119" i="3"/>
  <c r="B93" i="3"/>
  <c r="C93" i="3"/>
  <c r="C94" i="3"/>
  <c r="B83" i="3"/>
  <c r="C83" i="3"/>
  <c r="C84" i="3"/>
  <c r="C47" i="3"/>
  <c r="B86" i="3"/>
  <c r="C86" i="3"/>
  <c r="B90" i="3"/>
  <c r="C90" i="3"/>
  <c r="C91" i="3"/>
  <c r="B97" i="3"/>
  <c r="C97" i="3"/>
  <c r="C100" i="3"/>
  <c r="B103" i="3"/>
  <c r="C103" i="3"/>
  <c r="B106" i="3"/>
  <c r="C106" i="3"/>
  <c r="C108" i="3"/>
  <c r="C120" i="3"/>
  <c r="B39" i="3"/>
  <c r="B40" i="3"/>
  <c r="B41" i="3"/>
  <c r="B44" i="3"/>
  <c r="B45" i="3"/>
  <c r="B47" i="3"/>
  <c r="B48" i="3"/>
  <c r="B51" i="3"/>
  <c r="B53" i="3"/>
  <c r="B67" i="3"/>
  <c r="B73" i="3"/>
  <c r="B80" i="3"/>
  <c r="B81" i="3"/>
  <c r="B84" i="3"/>
  <c r="B87" i="3"/>
  <c r="B91" i="3"/>
  <c r="B94" i="3"/>
  <c r="B100" i="3"/>
  <c r="B104" i="3"/>
  <c r="B108" i="3"/>
  <c r="B111" i="3"/>
  <c r="B112" i="3"/>
  <c r="B115" i="3"/>
  <c r="B119" i="3"/>
  <c r="B120" i="3"/>
  <c r="B127" i="3"/>
  <c r="B128" i="3"/>
  <c r="B130" i="3"/>
  <c r="B7" i="3"/>
  <c r="B8" i="3"/>
  <c r="B12" i="3"/>
  <c r="B13" i="3"/>
  <c r="B15" i="3"/>
  <c r="B16" i="3"/>
  <c r="B17" i="3"/>
  <c r="B18" i="3"/>
  <c r="B19" i="3"/>
  <c r="B20" i="3"/>
  <c r="B21" i="3"/>
  <c r="B22" i="3"/>
  <c r="B27" i="3"/>
  <c r="B33" i="3"/>
  <c r="B9" i="3"/>
  <c r="B23" i="3"/>
  <c r="B34" i="3"/>
  <c r="B35" i="3"/>
  <c r="B121" i="3"/>
  <c r="C8" i="3"/>
  <c r="C13" i="3"/>
  <c r="C15" i="3"/>
  <c r="C16" i="3"/>
  <c r="C17" i="3"/>
  <c r="C18" i="3"/>
  <c r="C19" i="3"/>
  <c r="C20" i="3"/>
  <c r="C21" i="3"/>
  <c r="C22" i="3"/>
  <c r="C23" i="3"/>
  <c r="C31" i="3"/>
  <c r="C33" i="3"/>
  <c r="C9" i="3"/>
  <c r="C34" i="3"/>
  <c r="C35" i="3"/>
  <c r="C121" i="3"/>
  <c r="E119" i="3"/>
  <c r="E47" i="3"/>
  <c r="E84" i="3"/>
  <c r="E94" i="3"/>
  <c r="E108" i="3"/>
  <c r="E120" i="3"/>
  <c r="E8" i="3"/>
  <c r="E13" i="3"/>
  <c r="E22" i="3"/>
  <c r="E34" i="3"/>
  <c r="E35" i="3"/>
  <c r="E121" i="3"/>
  <c r="E122" i="3"/>
  <c r="C122" i="3"/>
  <c r="B122" i="3"/>
</calcChain>
</file>

<file path=xl/sharedStrings.xml><?xml version="1.0" encoding="utf-8"?>
<sst xmlns="http://schemas.openxmlformats.org/spreadsheetml/2006/main" count="135" uniqueCount="129">
  <si>
    <t>Income</t>
  </si>
  <si>
    <t xml:space="preserve">   Back to School Cocktail Party</t>
  </si>
  <si>
    <t xml:space="preserve">      Bingo Board Proceeds</t>
  </si>
  <si>
    <t xml:space="preserve">   Total Back to School Cocktail Party</t>
  </si>
  <si>
    <t xml:space="preserve">   Dinner Nights</t>
  </si>
  <si>
    <t xml:space="preserve">   Direct Public Support</t>
  </si>
  <si>
    <t xml:space="preserve">      Corporate Contributions</t>
  </si>
  <si>
    <t xml:space="preserve">      Direct Ask</t>
  </si>
  <si>
    <t xml:space="preserve">   Total Direct Public Support</t>
  </si>
  <si>
    <t xml:space="preserve">   Golf Tournament</t>
  </si>
  <si>
    <t xml:space="preserve">      Activity Tickets</t>
  </si>
  <si>
    <t xml:space="preserve">      Auction</t>
  </si>
  <si>
    <t xml:space="preserve">      Dinner tickets</t>
  </si>
  <si>
    <t xml:space="preserve">      Drink tickets</t>
  </si>
  <si>
    <t xml:space="preserve">      Entry fees</t>
  </si>
  <si>
    <t xml:space="preserve">      Raffle tickets</t>
  </si>
  <si>
    <t xml:space="preserve">      Sponsorships</t>
  </si>
  <si>
    <t xml:space="preserve">   Total Golf Tournament</t>
  </si>
  <si>
    <t xml:space="preserve">   School Supply Kits</t>
  </si>
  <si>
    <t xml:space="preserve">   Spring Fundraiser</t>
  </si>
  <si>
    <t xml:space="preserve">      Drink Tickets</t>
  </si>
  <si>
    <t xml:space="preserve">      Entry Fee</t>
  </si>
  <si>
    <t xml:space="preserve">      Premium Experience</t>
  </si>
  <si>
    <t xml:space="preserve">      Raffle</t>
  </si>
  <si>
    <t xml:space="preserve">      Silent and Live Auction</t>
  </si>
  <si>
    <t xml:space="preserve">   Total Spring Fundraiser</t>
  </si>
  <si>
    <t>Total Income</t>
  </si>
  <si>
    <t>Gross Profit</t>
  </si>
  <si>
    <t>Expenses</t>
  </si>
  <si>
    <t xml:space="preserve">   Administrative</t>
  </si>
  <si>
    <t xml:space="preserve">      Accounting Software</t>
  </si>
  <si>
    <t xml:space="preserve">      Business Registration Fees</t>
  </si>
  <si>
    <t xml:space="preserve">      Hospitality</t>
  </si>
  <si>
    <t xml:space="preserve">      Insurance</t>
  </si>
  <si>
    <t xml:space="preserve">      Postage, Mailing Service</t>
  </si>
  <si>
    <t xml:space="preserve">      Printing and Copying</t>
  </si>
  <si>
    <t xml:space="preserve">      Supplies</t>
  </si>
  <si>
    <t xml:space="preserve">      Tax Preparation/Audit Review</t>
  </si>
  <si>
    <t xml:space="preserve">      Website and IT</t>
  </si>
  <si>
    <t xml:space="preserve">   Total Administrative</t>
  </si>
  <si>
    <t xml:space="preserve">   Back-to-School Cocktail Party</t>
  </si>
  <si>
    <t xml:space="preserve">   Fundraising Expense</t>
  </si>
  <si>
    <t xml:space="preserve">      Direct Ask/Grizzly Growth Fund</t>
  </si>
  <si>
    <t xml:space="preserve">         Advertising/Promotional</t>
  </si>
  <si>
    <t xml:space="preserve">         Shopping cart/ CC Fees</t>
  </si>
  <si>
    <t xml:space="preserve">      Total Direct Ask/Grizzly Growth Fund</t>
  </si>
  <si>
    <t xml:space="preserve">      Golf Tournament</t>
  </si>
  <si>
    <t xml:space="preserve">         Advertising-banners and flyers</t>
  </si>
  <si>
    <t xml:space="preserve">         Auction</t>
  </si>
  <si>
    <t xml:space="preserve">         Club charges</t>
  </si>
  <si>
    <t xml:space="preserve">         Entertainment</t>
  </si>
  <si>
    <t xml:space="preserve">         Fairway signs</t>
  </si>
  <si>
    <t xml:space="preserve">         Food</t>
  </si>
  <si>
    <t xml:space="preserve">         Golf Prizes</t>
  </si>
  <si>
    <t xml:space="preserve">         Insurance</t>
  </si>
  <si>
    <t xml:space="preserve">         Miscellaneous Expenses</t>
  </si>
  <si>
    <t xml:space="preserve">         Shopping cart/credit card fees</t>
  </si>
  <si>
    <t xml:space="preserve">      Total Golf Tournament</t>
  </si>
  <si>
    <t xml:space="preserve">      School Supply Kits</t>
  </si>
  <si>
    <t xml:space="preserve">      Spring Fundraiser</t>
  </si>
  <si>
    <t xml:space="preserve">         Credit Card Processing Fees</t>
  </si>
  <si>
    <t xml:space="preserve">         Drinks</t>
  </si>
  <si>
    <t xml:space="preserve">         Facility costs</t>
  </si>
  <si>
    <t xml:space="preserve">         Live Auction</t>
  </si>
  <si>
    <t xml:space="preserve">         Marketing</t>
  </si>
  <si>
    <t xml:space="preserve">         Silent Auction</t>
  </si>
  <si>
    <t xml:space="preserve">      Total Spring Fundraiser</t>
  </si>
  <si>
    <t xml:space="preserve">   Total Fundraising Expense</t>
  </si>
  <si>
    <t xml:space="preserve">   Instructional Programs</t>
  </si>
  <si>
    <t xml:space="preserve">      IXL - Software Program</t>
  </si>
  <si>
    <t xml:space="preserve">   Total Instructional Programs</t>
  </si>
  <si>
    <t xml:space="preserve">   Literacy Enrichment</t>
  </si>
  <si>
    <t xml:space="preserve">      BrainPop</t>
  </si>
  <si>
    <t xml:space="preserve">      Levelled readers</t>
  </si>
  <si>
    <t xml:space="preserve">      Library Development</t>
  </si>
  <si>
    <t xml:space="preserve">      Razz Kids</t>
  </si>
  <si>
    <t xml:space="preserve">   Total Literacy Enrichment</t>
  </si>
  <si>
    <t xml:space="preserve">   Other Types of Expenses</t>
  </si>
  <si>
    <t xml:space="preserve">      Back to school breakfast</t>
  </si>
  <si>
    <t xml:space="preserve">   Total Other Types of Expenses</t>
  </si>
  <si>
    <t xml:space="preserve">   School Materials/Supplies</t>
  </si>
  <si>
    <t xml:space="preserve">      Classroom Expense Reimbursement</t>
  </si>
  <si>
    <t xml:space="preserve">      Physical Education Equipment Replenishment</t>
  </si>
  <si>
    <t xml:space="preserve">      Printer Toner/Learning Malls</t>
  </si>
  <si>
    <t xml:space="preserve">   Total School Materials/Supplies</t>
  </si>
  <si>
    <t xml:space="preserve">   Science, Tech, Eng and Math</t>
  </si>
  <si>
    <t xml:space="preserve">      Computer resource assistant</t>
  </si>
  <si>
    <t xml:space="preserve">      Excelling math impact teacher</t>
  </si>
  <si>
    <t xml:space="preserve">      Program Support</t>
  </si>
  <si>
    <t xml:space="preserve">      Science Instructor</t>
  </si>
  <si>
    <t xml:space="preserve">   Total Science, Tech, Eng and Math</t>
  </si>
  <si>
    <t xml:space="preserve">   Specialized Instruction</t>
  </si>
  <si>
    <t xml:space="preserve">      Counselor</t>
  </si>
  <si>
    <t xml:space="preserve">      Grade level impact teachers</t>
  </si>
  <si>
    <t xml:space="preserve">      Kindergarten instructional aide</t>
  </si>
  <si>
    <t xml:space="preserve">      Music Teacher</t>
  </si>
  <si>
    <t xml:space="preserve">      PE Instructor</t>
  </si>
  <si>
    <t xml:space="preserve">      Teacher Continuing Education</t>
  </si>
  <si>
    <t xml:space="preserve">   Total Specialized Instruction</t>
  </si>
  <si>
    <t>Total Expenses</t>
  </si>
  <si>
    <t>Net Operating Income</t>
  </si>
  <si>
    <t>Net Income</t>
  </si>
  <si>
    <t>Willow Grove Educational Foundation</t>
  </si>
  <si>
    <t>Net Cash Change through end of FY</t>
  </si>
  <si>
    <t>Estimated Cash on Hand 6/30</t>
  </si>
  <si>
    <t>Net Cash Position going into next year</t>
  </si>
  <si>
    <t xml:space="preserve">      Income from Prior Year Event</t>
  </si>
  <si>
    <t xml:space="preserve">         Trophy's</t>
  </si>
  <si>
    <t xml:space="preserve">         Expense from Prior Year Events</t>
  </si>
  <si>
    <t xml:space="preserve">      Next Generation Science Standards</t>
  </si>
  <si>
    <t xml:space="preserve">      New Technology</t>
  </si>
  <si>
    <t xml:space="preserve">      Bonus - CRA and Math Impact</t>
  </si>
  <si>
    <t xml:space="preserve">      Supplemental Salaries</t>
  </si>
  <si>
    <t>FY 19 YTD Actual</t>
  </si>
  <si>
    <t xml:space="preserve"> FY19 Estimated at End of Year</t>
  </si>
  <si>
    <t>FY20 Budget</t>
  </si>
  <si>
    <t>Grade level math impact</t>
  </si>
  <si>
    <t>Golfer Gift Bags</t>
  </si>
  <si>
    <t xml:space="preserve">      Bonus - Salaries Employees</t>
  </si>
  <si>
    <t>Tatoo Sales</t>
  </si>
  <si>
    <t xml:space="preserve">  </t>
  </si>
  <si>
    <t>Cash outlay for salaries at beginning of year</t>
  </si>
  <si>
    <t>Cash on Hand 5/30</t>
  </si>
  <si>
    <t>For GGF Slide</t>
  </si>
  <si>
    <t>Kinder Aides</t>
  </si>
  <si>
    <t>Impact</t>
  </si>
  <si>
    <t>Enriched Education</t>
  </si>
  <si>
    <t>Advanced Technology</t>
  </si>
  <si>
    <t>Salaries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</si>
</sst>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,##0\ _€"/>
    <numFmt numFmtId="165" formatCode="_(&quot;$&quot;* #,##0_);_(&quot;$&quot;* \(#,##0\);_(&quot;$&quot;* &quot;-&quot;??_);_(@_)"/>
  </numFmts>
  <fonts count="8" x14ac:knownFonts="1">
    <font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0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164" fontId="3" fillId="0" borderId="0" xfId="0" applyNumberFormat="1" applyFont="1" applyAlignment="1">
      <alignment horizontal="right" wrapText="1"/>
    </xf>
    <xf numFmtId="0" fontId="0" fillId="0" borderId="0" xfId="0" applyFill="1"/>
    <xf numFmtId="164" fontId="3" fillId="0" borderId="1" xfId="0" applyNumberFormat="1" applyFont="1" applyBorder="1" applyAlignment="1">
      <alignment horizontal="right" wrapText="1"/>
    </xf>
    <xf numFmtId="164" fontId="3" fillId="0" borderId="4" xfId="0" applyNumberFormat="1" applyFont="1" applyBorder="1" applyAlignment="1">
      <alignment horizontal="right" wrapText="1"/>
    </xf>
    <xf numFmtId="164" fontId="3" fillId="0" borderId="5" xfId="0" applyNumberFormat="1" applyFont="1" applyBorder="1" applyAlignment="1">
      <alignment horizontal="right" wrapText="1"/>
    </xf>
    <xf numFmtId="164" fontId="3" fillId="0" borderId="6" xfId="0" applyNumberFormat="1" applyFont="1" applyBorder="1" applyAlignment="1">
      <alignment horizontal="right" wrapText="1"/>
    </xf>
    <xf numFmtId="164" fontId="3" fillId="0" borderId="7" xfId="0" applyNumberFormat="1" applyFont="1" applyBorder="1" applyAlignment="1">
      <alignment horizontal="right" wrapText="1"/>
    </xf>
    <xf numFmtId="164" fontId="3" fillId="0" borderId="8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 wrapText="1"/>
    </xf>
    <xf numFmtId="164" fontId="3" fillId="0" borderId="9" xfId="0" applyNumberFormat="1" applyFont="1" applyBorder="1" applyAlignment="1">
      <alignment horizontal="right" wrapText="1"/>
    </xf>
    <xf numFmtId="0" fontId="0" fillId="0" borderId="9" xfId="0" applyBorder="1"/>
    <xf numFmtId="164" fontId="3" fillId="0" borderId="10" xfId="0" applyNumberFormat="1" applyFont="1" applyBorder="1" applyAlignment="1">
      <alignment horizontal="right" wrapText="1"/>
    </xf>
    <xf numFmtId="0" fontId="0" fillId="0" borderId="11" xfId="0" applyBorder="1"/>
    <xf numFmtId="0" fontId="0" fillId="0" borderId="12" xfId="0" applyBorder="1"/>
    <xf numFmtId="44" fontId="0" fillId="0" borderId="0" xfId="0" applyNumberFormat="1"/>
    <xf numFmtId="0" fontId="0" fillId="0" borderId="0" xfId="0"/>
    <xf numFmtId="165" fontId="0" fillId="0" borderId="0" xfId="0" applyNumberFormat="1"/>
    <xf numFmtId="165" fontId="0" fillId="0" borderId="0" xfId="0" applyNumberFormat="1" applyAlignment="1">
      <alignment wrapText="1"/>
    </xf>
    <xf numFmtId="165" fontId="1" fillId="0" borderId="3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165" fontId="2" fillId="0" borderId="0" xfId="0" applyNumberFormat="1" applyFont="1" applyAlignment="1">
      <alignment horizontal="left" wrapText="1"/>
    </xf>
    <xf numFmtId="165" fontId="3" fillId="0" borderId="0" xfId="0" applyNumberFormat="1" applyFont="1" applyAlignment="1">
      <alignment wrapText="1"/>
    </xf>
    <xf numFmtId="165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3" fillId="0" borderId="0" xfId="0" applyNumberFormat="1" applyFont="1" applyFill="1" applyAlignment="1">
      <alignment horizontal="right" wrapText="1"/>
    </xf>
    <xf numFmtId="165" fontId="2" fillId="0" borderId="0" xfId="0" applyNumberFormat="1" applyFont="1" applyFill="1" applyAlignment="1">
      <alignment horizontal="left" wrapText="1"/>
    </xf>
    <xf numFmtId="165" fontId="3" fillId="2" borderId="0" xfId="0" applyNumberFormat="1" applyFont="1" applyFill="1" applyAlignment="1">
      <alignment horizontal="right" wrapText="1"/>
    </xf>
    <xf numFmtId="3" fontId="0" fillId="0" borderId="0" xfId="0" applyNumberFormat="1"/>
    <xf numFmtId="165" fontId="4" fillId="0" borderId="0" xfId="0" applyNumberFormat="1" applyFont="1" applyAlignment="1">
      <alignment horizontal="center"/>
    </xf>
    <xf numFmtId="165" fontId="0" fillId="0" borderId="0" xfId="0" applyNumberFormat="1"/>
    <xf numFmtId="165" fontId="1" fillId="0" borderId="1" xfId="0" applyNumberFormat="1" applyFont="1" applyBorder="1" applyAlignment="1">
      <alignment horizontal="center" wrapText="1"/>
    </xf>
    <xf numFmtId="165" fontId="1" fillId="0" borderId="0" xfId="0" applyNumberFormat="1" applyFont="1" applyBorder="1" applyAlignment="1">
      <alignment horizontal="center" wrapText="1"/>
    </xf>
    <xf numFmtId="165" fontId="0" fillId="0" borderId="0" xfId="0" applyNumberFormat="1" applyAlignment="1">
      <alignment wrapText="1"/>
    </xf>
  </cellXfs>
  <cellStyles count="10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3"/>
  <sheetViews>
    <sheetView tabSelected="1" zoomScale="125" zoomScaleNormal="125" zoomScalePageLayoutView="125" workbookViewId="0">
      <pane xSplit="1" ySplit="4" topLeftCell="B5" activePane="bottomRight" state="frozen"/>
      <selection pane="topRight" activeCell="B1" sqref="B1"/>
      <selection pane="bottomLeft" activeCell="A7" sqref="A7"/>
      <selection pane="bottomRight" activeCell="E137" sqref="E137"/>
    </sheetView>
  </sheetViews>
  <sheetFormatPr baseColWidth="10" defaultColWidth="8.83203125" defaultRowHeight="14" customHeight="1" x14ac:dyDescent="0.2"/>
  <cols>
    <col min="1" max="1" width="32" style="17" customWidth="1"/>
    <col min="2" max="2" width="13.6640625" style="17" customWidth="1"/>
    <col min="3" max="3" width="12" style="17" customWidth="1"/>
    <col min="4" max="4" width="3.1640625" style="17" customWidth="1"/>
    <col min="5" max="5" width="16.33203125" style="17" customWidth="1"/>
    <col min="6" max="7" width="8.83203125" style="17"/>
    <col min="8" max="8" width="11.6640625" style="17" bestFit="1" customWidth="1"/>
    <col min="9" max="16384" width="8.83203125" style="17"/>
  </cols>
  <sheetData>
    <row r="1" spans="1:5" ht="14" customHeight="1" x14ac:dyDescent="0.2">
      <c r="A1" s="29" t="s">
        <v>102</v>
      </c>
      <c r="B1" s="30"/>
      <c r="C1" s="30"/>
      <c r="D1" s="30"/>
      <c r="E1" s="30"/>
    </row>
    <row r="2" spans="1:5" ht="17" customHeight="1" x14ac:dyDescent="0.2">
      <c r="A2" s="29" t="s">
        <v>115</v>
      </c>
      <c r="B2" s="30"/>
      <c r="C2" s="30"/>
      <c r="D2" s="30"/>
      <c r="E2" s="30"/>
    </row>
    <row r="3" spans="1:5" ht="14" customHeight="1" x14ac:dyDescent="0.2">
      <c r="A3" s="18"/>
      <c r="B3" s="31"/>
      <c r="C3" s="32"/>
      <c r="D3" s="33"/>
      <c r="E3" s="33"/>
    </row>
    <row r="4" spans="1:5" ht="64" customHeight="1" x14ac:dyDescent="0.2">
      <c r="A4" s="18" t="s">
        <v>120</v>
      </c>
      <c r="B4" s="19" t="s">
        <v>113</v>
      </c>
      <c r="C4" s="19" t="s">
        <v>114</v>
      </c>
      <c r="D4" s="20"/>
      <c r="E4" s="19" t="s">
        <v>115</v>
      </c>
    </row>
    <row r="5" spans="1:5" ht="14" customHeight="1" x14ac:dyDescent="0.2">
      <c r="A5" s="21" t="s">
        <v>0</v>
      </c>
      <c r="B5" s="22"/>
      <c r="C5" s="22"/>
      <c r="D5" s="22"/>
      <c r="E5" s="22"/>
    </row>
    <row r="6" spans="1:5" ht="14" customHeight="1" x14ac:dyDescent="0.2">
      <c r="A6" s="21" t="s">
        <v>1</v>
      </c>
      <c r="B6" s="22"/>
      <c r="C6" s="22"/>
      <c r="D6" s="22"/>
      <c r="E6" s="23"/>
    </row>
    <row r="7" spans="1:5" ht="14" customHeight="1" x14ac:dyDescent="0.2">
      <c r="A7" s="21" t="s">
        <v>2</v>
      </c>
      <c r="B7" s="23">
        <f>3565</f>
        <v>3565</v>
      </c>
      <c r="C7" s="23">
        <v>3565</v>
      </c>
      <c r="D7" s="23"/>
      <c r="E7" s="23">
        <v>4000</v>
      </c>
    </row>
    <row r="8" spans="1:5" ht="14" customHeight="1" x14ac:dyDescent="0.2">
      <c r="A8" s="21" t="s">
        <v>3</v>
      </c>
      <c r="B8" s="24">
        <f>(B6)+(B7)</f>
        <v>3565</v>
      </c>
      <c r="C8" s="24">
        <f>(C6)+(C7)</f>
        <v>3565</v>
      </c>
      <c r="D8" s="24"/>
      <c r="E8" s="24">
        <f>(E6)+(E7)</f>
        <v>4000</v>
      </c>
    </row>
    <row r="9" spans="1:5" ht="14" customHeight="1" x14ac:dyDescent="0.2">
      <c r="A9" s="21" t="s">
        <v>4</v>
      </c>
      <c r="B9" s="23">
        <f>775.64</f>
        <v>775.64</v>
      </c>
      <c r="C9" s="23">
        <f>775.64</f>
        <v>775.64</v>
      </c>
      <c r="D9" s="23"/>
      <c r="E9" s="23">
        <v>800</v>
      </c>
    </row>
    <row r="10" spans="1:5" ht="14" customHeight="1" x14ac:dyDescent="0.2">
      <c r="A10" s="21" t="s">
        <v>5</v>
      </c>
      <c r="B10" s="22"/>
      <c r="C10" s="22"/>
      <c r="D10" s="22"/>
      <c r="E10" s="23"/>
    </row>
    <row r="11" spans="1:5" ht="14" customHeight="1" x14ac:dyDescent="0.2">
      <c r="A11" s="21" t="s">
        <v>6</v>
      </c>
      <c r="B11" s="23">
        <v>19830</v>
      </c>
      <c r="C11" s="23">
        <v>19830</v>
      </c>
      <c r="D11" s="23"/>
      <c r="E11" s="23">
        <v>19000</v>
      </c>
    </row>
    <row r="12" spans="1:5" ht="14" customHeight="1" x14ac:dyDescent="0.2">
      <c r="A12" s="21" t="s">
        <v>7</v>
      </c>
      <c r="B12" s="23">
        <f>98511</f>
        <v>98511</v>
      </c>
      <c r="C12" s="23">
        <v>98511</v>
      </c>
      <c r="D12" s="23"/>
      <c r="E12" s="23">
        <v>98000</v>
      </c>
    </row>
    <row r="13" spans="1:5" ht="14" customHeight="1" x14ac:dyDescent="0.2">
      <c r="A13" s="21" t="s">
        <v>8</v>
      </c>
      <c r="B13" s="24">
        <f>((B10)+(B11))+(B12)</f>
        <v>118341</v>
      </c>
      <c r="C13" s="24">
        <f>SUM(C11:C12)</f>
        <v>118341</v>
      </c>
      <c r="D13" s="24"/>
      <c r="E13" s="24">
        <f>((E10)+(E11))+(E12)</f>
        <v>117000</v>
      </c>
    </row>
    <row r="14" spans="1:5" ht="14" customHeight="1" x14ac:dyDescent="0.2">
      <c r="A14" s="21" t="s">
        <v>9</v>
      </c>
      <c r="B14" s="22"/>
      <c r="C14" s="22"/>
      <c r="D14" s="22"/>
      <c r="E14" s="23"/>
    </row>
    <row r="15" spans="1:5" ht="14" customHeight="1" x14ac:dyDescent="0.2">
      <c r="A15" s="21" t="s">
        <v>10</v>
      </c>
      <c r="B15" s="23">
        <f>3600</f>
        <v>3600</v>
      </c>
      <c r="C15" s="23">
        <f t="shared" ref="C15:C21" si="0">B15</f>
        <v>3600</v>
      </c>
      <c r="D15" s="23"/>
      <c r="E15" s="23">
        <v>3600</v>
      </c>
    </row>
    <row r="16" spans="1:5" ht="14" customHeight="1" x14ac:dyDescent="0.2">
      <c r="A16" s="21" t="s">
        <v>11</v>
      </c>
      <c r="B16" s="23">
        <f>45225</f>
        <v>45225</v>
      </c>
      <c r="C16" s="23">
        <f t="shared" si="0"/>
        <v>45225</v>
      </c>
      <c r="D16" s="23"/>
      <c r="E16" s="23">
        <v>30000</v>
      </c>
    </row>
    <row r="17" spans="1:5" ht="14" customHeight="1" x14ac:dyDescent="0.2">
      <c r="A17" s="21" t="s">
        <v>12</v>
      </c>
      <c r="B17" s="23">
        <f>5640</f>
        <v>5640</v>
      </c>
      <c r="C17" s="23">
        <f t="shared" si="0"/>
        <v>5640</v>
      </c>
      <c r="D17" s="23"/>
      <c r="E17" s="23">
        <v>5700</v>
      </c>
    </row>
    <row r="18" spans="1:5" ht="14" customHeight="1" x14ac:dyDescent="0.2">
      <c r="A18" s="21" t="s">
        <v>13</v>
      </c>
      <c r="B18" s="23">
        <f>5250</f>
        <v>5250</v>
      </c>
      <c r="C18" s="23">
        <f t="shared" si="0"/>
        <v>5250</v>
      </c>
      <c r="D18" s="23"/>
      <c r="E18" s="23">
        <v>5250</v>
      </c>
    </row>
    <row r="19" spans="1:5" ht="14" customHeight="1" x14ac:dyDescent="0.2">
      <c r="A19" s="21" t="s">
        <v>14</v>
      </c>
      <c r="B19" s="23">
        <f>32915</f>
        <v>32915</v>
      </c>
      <c r="C19" s="23">
        <f t="shared" si="0"/>
        <v>32915</v>
      </c>
      <c r="D19" s="23"/>
      <c r="E19" s="23">
        <v>35000</v>
      </c>
    </row>
    <row r="20" spans="1:5" ht="14" customHeight="1" x14ac:dyDescent="0.2">
      <c r="A20" s="21" t="s">
        <v>15</v>
      </c>
      <c r="B20" s="23">
        <f>10700</f>
        <v>10700</v>
      </c>
      <c r="C20" s="23">
        <f t="shared" si="0"/>
        <v>10700</v>
      </c>
      <c r="D20" s="23"/>
      <c r="E20" s="23">
        <v>10700</v>
      </c>
    </row>
    <row r="21" spans="1:5" ht="14" customHeight="1" x14ac:dyDescent="0.2">
      <c r="A21" s="21" t="s">
        <v>16</v>
      </c>
      <c r="B21" s="23">
        <f>40570</f>
        <v>40570</v>
      </c>
      <c r="C21" s="23">
        <f t="shared" si="0"/>
        <v>40570</v>
      </c>
      <c r="D21" s="23"/>
      <c r="E21" s="23">
        <v>40000</v>
      </c>
    </row>
    <row r="22" spans="1:5" ht="14" customHeight="1" x14ac:dyDescent="0.2">
      <c r="A22" s="21" t="s">
        <v>17</v>
      </c>
      <c r="B22" s="24">
        <f>(((((((B14)+(B15))+(B16))+(B17))+(B18))+(B19))+(B20))+(B21)</f>
        <v>143900</v>
      </c>
      <c r="C22" s="24">
        <f>SUM(C15:C21)</f>
        <v>143900</v>
      </c>
      <c r="D22" s="24"/>
      <c r="E22" s="24">
        <f>(((((((E14)+(E15))+(E16))+(E17))+(E18))+(E19))+(E20))+(E21)</f>
        <v>130250</v>
      </c>
    </row>
    <row r="23" spans="1:5" ht="14" customHeight="1" x14ac:dyDescent="0.2">
      <c r="A23" s="21" t="s">
        <v>18</v>
      </c>
      <c r="B23" s="23">
        <f>3658.28</f>
        <v>3658.28</v>
      </c>
      <c r="C23" s="23">
        <f>B23</f>
        <v>3658.28</v>
      </c>
      <c r="D23" s="23"/>
      <c r="E23" s="23">
        <v>3000</v>
      </c>
    </row>
    <row r="24" spans="1:5" ht="14" customHeight="1" x14ac:dyDescent="0.2">
      <c r="A24" s="21" t="s">
        <v>19</v>
      </c>
      <c r="B24" s="22"/>
      <c r="C24" s="22"/>
      <c r="D24" s="22"/>
      <c r="E24" s="23"/>
    </row>
    <row r="25" spans="1:5" ht="14" customHeight="1" x14ac:dyDescent="0.2">
      <c r="A25" s="21" t="s">
        <v>20</v>
      </c>
      <c r="B25" s="23">
        <v>4930</v>
      </c>
      <c r="C25" s="23">
        <v>4930</v>
      </c>
      <c r="D25" s="23"/>
      <c r="E25" s="25">
        <v>4000</v>
      </c>
    </row>
    <row r="26" spans="1:5" ht="14" customHeight="1" x14ac:dyDescent="0.2">
      <c r="A26" s="21" t="s">
        <v>21</v>
      </c>
      <c r="B26" s="23">
        <v>17131</v>
      </c>
      <c r="C26" s="23">
        <v>17131</v>
      </c>
      <c r="D26" s="23"/>
      <c r="E26" s="25">
        <v>15000</v>
      </c>
    </row>
    <row r="27" spans="1:5" ht="14" customHeight="1" x14ac:dyDescent="0.2">
      <c r="A27" s="21" t="s">
        <v>106</v>
      </c>
      <c r="B27" s="23">
        <f>1770.03</f>
        <v>1770.03</v>
      </c>
      <c r="C27" s="23">
        <v>1770</v>
      </c>
      <c r="D27" s="23"/>
      <c r="E27" s="25">
        <v>0</v>
      </c>
    </row>
    <row r="28" spans="1:5" ht="14" customHeight="1" x14ac:dyDescent="0.2">
      <c r="A28" s="21" t="s">
        <v>22</v>
      </c>
      <c r="B28" s="23">
        <v>780</v>
      </c>
      <c r="C28" s="23">
        <v>780</v>
      </c>
      <c r="D28" s="23"/>
      <c r="E28" s="25">
        <v>700</v>
      </c>
    </row>
    <row r="29" spans="1:5" ht="14" customHeight="1" x14ac:dyDescent="0.2">
      <c r="A29" s="21" t="s">
        <v>119</v>
      </c>
      <c r="B29" s="23">
        <v>60</v>
      </c>
      <c r="C29" s="23">
        <v>60</v>
      </c>
      <c r="D29" s="23"/>
      <c r="E29" s="25">
        <v>0</v>
      </c>
    </row>
    <row r="30" spans="1:5" ht="14" customHeight="1" x14ac:dyDescent="0.2">
      <c r="A30" s="21" t="s">
        <v>23</v>
      </c>
      <c r="B30" s="22">
        <v>2650</v>
      </c>
      <c r="C30" s="22">
        <v>2650</v>
      </c>
      <c r="D30" s="23"/>
      <c r="E30" s="25">
        <v>1000</v>
      </c>
    </row>
    <row r="31" spans="1:5" ht="14" customHeight="1" x14ac:dyDescent="0.2">
      <c r="A31" s="21" t="s">
        <v>24</v>
      </c>
      <c r="B31" s="22">
        <v>78084</v>
      </c>
      <c r="C31" s="22">
        <f>B31+3480+300+150</f>
        <v>82014</v>
      </c>
      <c r="D31" s="23"/>
      <c r="E31" s="25">
        <v>70000</v>
      </c>
    </row>
    <row r="32" spans="1:5" ht="14" customHeight="1" x14ac:dyDescent="0.2">
      <c r="A32" s="21" t="s">
        <v>16</v>
      </c>
      <c r="B32" s="23">
        <v>13450</v>
      </c>
      <c r="C32" s="23">
        <v>13700</v>
      </c>
      <c r="D32" s="23"/>
      <c r="E32" s="25">
        <v>14000</v>
      </c>
    </row>
    <row r="33" spans="1:5" ht="14" customHeight="1" x14ac:dyDescent="0.2">
      <c r="A33" s="21" t="s">
        <v>25</v>
      </c>
      <c r="B33" s="24">
        <f>(((((((B24)+(B25))+(B26))+(B27))+(B28))+(B30))+(B31))+(B32)+B29</f>
        <v>118855.03</v>
      </c>
      <c r="C33" s="24">
        <f>SUM(C25:C32)</f>
        <v>123035</v>
      </c>
      <c r="D33" s="24"/>
      <c r="E33" s="24">
        <f>(((((((E24)+(E25))+(E26))+(E27))+(E28))+(E30))+(E31))+(E32)+E29</f>
        <v>104700</v>
      </c>
    </row>
    <row r="34" spans="1:5" ht="14" customHeight="1" x14ac:dyDescent="0.2">
      <c r="A34" s="21" t="s">
        <v>26</v>
      </c>
      <c r="B34" s="24">
        <f>(((((B8)+(B9))+(B13))+(B22))+(B23))+(B33)</f>
        <v>389094.95000000007</v>
      </c>
      <c r="C34" s="24">
        <f>(((((C8)+(C9))+(C13))+(C22))+(C23))+(C33)</f>
        <v>393274.92000000004</v>
      </c>
      <c r="D34" s="24"/>
      <c r="E34" s="24">
        <f>(((((E8)+(E9))+(E13))+(E22))+(E23))+(E33)</f>
        <v>359750</v>
      </c>
    </row>
    <row r="35" spans="1:5" ht="14" customHeight="1" x14ac:dyDescent="0.2">
      <c r="A35" s="21" t="s">
        <v>27</v>
      </c>
      <c r="B35" s="24">
        <f>(B34)-(0)</f>
        <v>389094.95000000007</v>
      </c>
      <c r="C35" s="24">
        <f>(C34)-(0)</f>
        <v>393274.92000000004</v>
      </c>
      <c r="D35" s="24"/>
      <c r="E35" s="24">
        <f>(E34)-(0)</f>
        <v>359750</v>
      </c>
    </row>
    <row r="36" spans="1:5" ht="14" customHeight="1" x14ac:dyDescent="0.2">
      <c r="A36" s="21" t="s">
        <v>28</v>
      </c>
      <c r="B36" s="22"/>
      <c r="C36" s="22"/>
      <c r="D36" s="22"/>
      <c r="E36" s="22"/>
    </row>
    <row r="37" spans="1:5" ht="14" customHeight="1" x14ac:dyDescent="0.2">
      <c r="A37" s="21" t="s">
        <v>29</v>
      </c>
      <c r="B37" s="22"/>
      <c r="C37" s="22"/>
      <c r="D37" s="22"/>
      <c r="E37" s="23"/>
    </row>
    <row r="38" spans="1:5" ht="14" customHeight="1" x14ac:dyDescent="0.2">
      <c r="A38" s="21" t="s">
        <v>30</v>
      </c>
      <c r="B38" s="23">
        <v>660</v>
      </c>
      <c r="C38" s="23">
        <v>720</v>
      </c>
      <c r="D38" s="23"/>
      <c r="E38" s="23">
        <v>720</v>
      </c>
    </row>
    <row r="39" spans="1:5" ht="14" customHeight="1" x14ac:dyDescent="0.2">
      <c r="A39" s="21" t="s">
        <v>31</v>
      </c>
      <c r="B39" s="23">
        <f>95</f>
        <v>95</v>
      </c>
      <c r="C39" s="23">
        <v>95</v>
      </c>
      <c r="D39" s="23"/>
      <c r="E39" s="23">
        <v>95</v>
      </c>
    </row>
    <row r="40" spans="1:5" ht="14" customHeight="1" x14ac:dyDescent="0.2">
      <c r="A40" s="21" t="s">
        <v>32</v>
      </c>
      <c r="B40" s="23">
        <f>392.86</f>
        <v>392.86</v>
      </c>
      <c r="C40" s="23">
        <v>750</v>
      </c>
      <c r="D40" s="23"/>
      <c r="E40" s="23">
        <v>750</v>
      </c>
    </row>
    <row r="41" spans="1:5" ht="14" customHeight="1" x14ac:dyDescent="0.2">
      <c r="A41" s="21" t="s">
        <v>33</v>
      </c>
      <c r="B41" s="23">
        <f>325</f>
        <v>325</v>
      </c>
      <c r="C41" s="25">
        <v>325</v>
      </c>
      <c r="D41" s="23"/>
      <c r="E41" s="23">
        <v>325</v>
      </c>
    </row>
    <row r="42" spans="1:5" ht="14" customHeight="1" x14ac:dyDescent="0.2">
      <c r="A42" s="21" t="s">
        <v>34</v>
      </c>
      <c r="B42" s="22"/>
      <c r="C42" s="22">
        <v>20</v>
      </c>
      <c r="D42" s="23"/>
      <c r="E42" s="23">
        <v>0</v>
      </c>
    </row>
    <row r="43" spans="1:5" ht="14" customHeight="1" x14ac:dyDescent="0.2">
      <c r="A43" s="21" t="s">
        <v>35</v>
      </c>
      <c r="B43" s="22"/>
      <c r="C43" s="22">
        <v>50</v>
      </c>
      <c r="D43" s="23"/>
      <c r="E43" s="23">
        <v>0</v>
      </c>
    </row>
    <row r="44" spans="1:5" ht="14" customHeight="1" x14ac:dyDescent="0.2">
      <c r="A44" s="21" t="s">
        <v>36</v>
      </c>
      <c r="B44" s="23">
        <f>141.89</f>
        <v>141.88999999999999</v>
      </c>
      <c r="C44" s="23">
        <v>142</v>
      </c>
      <c r="D44" s="23"/>
      <c r="E44" s="23">
        <v>100</v>
      </c>
    </row>
    <row r="45" spans="1:5" ht="14" customHeight="1" x14ac:dyDescent="0.2">
      <c r="A45" s="21" t="s">
        <v>37</v>
      </c>
      <c r="B45" s="23">
        <f>1387.5</f>
        <v>1387.5</v>
      </c>
      <c r="C45" s="23">
        <v>1388</v>
      </c>
      <c r="D45" s="23"/>
      <c r="E45" s="23">
        <v>1400</v>
      </c>
    </row>
    <row r="46" spans="1:5" ht="14" customHeight="1" x14ac:dyDescent="0.2">
      <c r="A46" s="21" t="s">
        <v>38</v>
      </c>
      <c r="B46" s="23">
        <v>519</v>
      </c>
      <c r="C46" s="25">
        <v>550</v>
      </c>
      <c r="D46" s="23"/>
      <c r="E46" s="23">
        <v>550</v>
      </c>
    </row>
    <row r="47" spans="1:5" ht="14" customHeight="1" x14ac:dyDescent="0.2">
      <c r="A47" s="21" t="s">
        <v>39</v>
      </c>
      <c r="B47" s="24">
        <f>(((((((((B37)+(B38))+(B39))+(B40))+(B41))+(B42))+(B43))+(B44))+(B45))+(B46)</f>
        <v>3521.25</v>
      </c>
      <c r="C47" s="24">
        <f>SUM(C38:C46)</f>
        <v>4040</v>
      </c>
      <c r="D47" s="24"/>
      <c r="E47" s="24">
        <f>(((((((((E37)+(E38))+(E39))+(E40))+(E41))+(E42))+(E43))+(E44))+(E45))+(E46)</f>
        <v>3940</v>
      </c>
    </row>
    <row r="48" spans="1:5" ht="14" customHeight="1" x14ac:dyDescent="0.2">
      <c r="A48" s="21" t="s">
        <v>40</v>
      </c>
      <c r="B48" s="23">
        <f>2431.35</f>
        <v>2431.35</v>
      </c>
      <c r="C48" s="23">
        <v>2431</v>
      </c>
      <c r="D48" s="23"/>
      <c r="E48" s="23">
        <v>3500</v>
      </c>
    </row>
    <row r="49" spans="1:5" ht="14" customHeight="1" x14ac:dyDescent="0.2">
      <c r="A49" s="21" t="s">
        <v>41</v>
      </c>
      <c r="B49" s="22"/>
      <c r="C49" s="22"/>
      <c r="D49" s="22"/>
      <c r="E49" s="23"/>
    </row>
    <row r="50" spans="1:5" ht="14" customHeight="1" x14ac:dyDescent="0.2">
      <c r="A50" s="21" t="s">
        <v>42</v>
      </c>
      <c r="B50" s="22"/>
      <c r="C50" s="22"/>
      <c r="D50" s="22"/>
      <c r="E50" s="23"/>
    </row>
    <row r="51" spans="1:5" ht="14" customHeight="1" x14ac:dyDescent="0.2">
      <c r="A51" s="21" t="s">
        <v>43</v>
      </c>
      <c r="B51" s="23">
        <f>3098.2</f>
        <v>3098.2</v>
      </c>
      <c r="C51" s="23">
        <v>3098</v>
      </c>
      <c r="D51" s="23"/>
      <c r="E51" s="23">
        <v>3000</v>
      </c>
    </row>
    <row r="52" spans="1:5" ht="14" customHeight="1" x14ac:dyDescent="0.2">
      <c r="A52" s="21" t="s">
        <v>44</v>
      </c>
      <c r="B52" s="23">
        <v>1786</v>
      </c>
      <c r="C52" s="23">
        <v>1784</v>
      </c>
      <c r="D52" s="23"/>
      <c r="E52" s="23">
        <v>1800</v>
      </c>
    </row>
    <row r="53" spans="1:5" ht="14" customHeight="1" x14ac:dyDescent="0.2">
      <c r="A53" s="21" t="s">
        <v>45</v>
      </c>
      <c r="B53" s="24">
        <f>((B50)+(B51))+(B52)</f>
        <v>4884.2</v>
      </c>
      <c r="C53" s="24">
        <f>SUM(C51:C52)</f>
        <v>4882</v>
      </c>
      <c r="D53" s="24"/>
      <c r="E53" s="24">
        <f>((E50)+(E51))+(E52)</f>
        <v>4800</v>
      </c>
    </row>
    <row r="54" spans="1:5" ht="14" customHeight="1" x14ac:dyDescent="0.2">
      <c r="A54" s="21" t="s">
        <v>46</v>
      </c>
      <c r="B54" s="22"/>
      <c r="C54" s="22"/>
      <c r="D54" s="22"/>
      <c r="E54" s="23"/>
    </row>
    <row r="55" spans="1:5" ht="14" customHeight="1" x14ac:dyDescent="0.2">
      <c r="A55" s="21" t="s">
        <v>47</v>
      </c>
      <c r="B55" s="23">
        <f>1672.64</f>
        <v>1672.64</v>
      </c>
      <c r="C55" s="23">
        <f t="shared" ref="C55:C60" si="1">B55</f>
        <v>1672.64</v>
      </c>
      <c r="D55" s="23"/>
      <c r="E55" s="23">
        <v>1700</v>
      </c>
    </row>
    <row r="56" spans="1:5" ht="14" customHeight="1" x14ac:dyDescent="0.2">
      <c r="A56" s="21" t="s">
        <v>48</v>
      </c>
      <c r="B56" s="23">
        <f>6134.74</f>
        <v>6134.74</v>
      </c>
      <c r="C56" s="23">
        <f t="shared" si="1"/>
        <v>6134.74</v>
      </c>
      <c r="D56" s="23"/>
      <c r="E56" s="23">
        <v>6100</v>
      </c>
    </row>
    <row r="57" spans="1:5" ht="14" customHeight="1" x14ac:dyDescent="0.2">
      <c r="A57" s="21" t="s">
        <v>49</v>
      </c>
      <c r="B57" s="23">
        <f>35178.08</f>
        <v>35178.080000000002</v>
      </c>
      <c r="C57" s="23">
        <f t="shared" si="1"/>
        <v>35178.080000000002</v>
      </c>
      <c r="D57" s="23"/>
      <c r="E57" s="23">
        <v>35200</v>
      </c>
    </row>
    <row r="58" spans="1:5" ht="14" customHeight="1" x14ac:dyDescent="0.2">
      <c r="A58" s="21" t="s">
        <v>50</v>
      </c>
      <c r="B58" s="23">
        <f>1000</f>
        <v>1000</v>
      </c>
      <c r="C58" s="23">
        <f t="shared" si="1"/>
        <v>1000</v>
      </c>
      <c r="D58" s="23"/>
      <c r="E58" s="23">
        <v>1000</v>
      </c>
    </row>
    <row r="59" spans="1:5" ht="14" customHeight="1" x14ac:dyDescent="0.2">
      <c r="A59" s="21" t="s">
        <v>51</v>
      </c>
      <c r="B59" s="23">
        <f>928.47</f>
        <v>928.47</v>
      </c>
      <c r="C59" s="23">
        <f t="shared" si="1"/>
        <v>928.47</v>
      </c>
      <c r="D59" s="23"/>
      <c r="E59" s="23">
        <v>1000</v>
      </c>
    </row>
    <row r="60" spans="1:5" ht="14" customHeight="1" x14ac:dyDescent="0.2">
      <c r="A60" s="21" t="s">
        <v>52</v>
      </c>
      <c r="B60" s="23">
        <f>152</f>
        <v>152</v>
      </c>
      <c r="C60" s="23">
        <f t="shared" si="1"/>
        <v>152</v>
      </c>
      <c r="D60" s="23"/>
      <c r="E60" s="23">
        <v>200</v>
      </c>
    </row>
    <row r="61" spans="1:5" ht="14" customHeight="1" x14ac:dyDescent="0.2">
      <c r="A61" s="26" t="s">
        <v>117</v>
      </c>
      <c r="B61" s="23">
        <v>0</v>
      </c>
      <c r="C61" s="23">
        <v>0</v>
      </c>
      <c r="D61" s="23"/>
      <c r="E61" s="23">
        <v>500</v>
      </c>
    </row>
    <row r="62" spans="1:5" ht="14" customHeight="1" x14ac:dyDescent="0.2">
      <c r="A62" s="21" t="s">
        <v>53</v>
      </c>
      <c r="B62" s="22">
        <v>0</v>
      </c>
      <c r="C62" s="22">
        <v>0</v>
      </c>
      <c r="D62" s="23"/>
      <c r="E62" s="23">
        <v>250</v>
      </c>
    </row>
    <row r="63" spans="1:5" ht="14" customHeight="1" x14ac:dyDescent="0.2">
      <c r="A63" s="21" t="s">
        <v>54</v>
      </c>
      <c r="B63" s="23">
        <f>2697</f>
        <v>2697</v>
      </c>
      <c r="C63" s="23">
        <f>B63</f>
        <v>2697</v>
      </c>
      <c r="D63" s="23"/>
      <c r="E63" s="23">
        <v>2700</v>
      </c>
    </row>
    <row r="64" spans="1:5" ht="14" customHeight="1" x14ac:dyDescent="0.2">
      <c r="A64" s="21" t="s">
        <v>55</v>
      </c>
      <c r="B64" s="23">
        <f>3982.64</f>
        <v>3982.64</v>
      </c>
      <c r="C64" s="23">
        <f>B64</f>
        <v>3982.64</v>
      </c>
      <c r="D64" s="23"/>
      <c r="E64" s="23">
        <v>4000</v>
      </c>
    </row>
    <row r="65" spans="1:5" ht="14" customHeight="1" x14ac:dyDescent="0.2">
      <c r="A65" s="21" t="s">
        <v>56</v>
      </c>
      <c r="B65" s="23">
        <f>1961.5</f>
        <v>1961.5</v>
      </c>
      <c r="C65" s="23">
        <f>B65</f>
        <v>1961.5</v>
      </c>
      <c r="D65" s="23"/>
      <c r="E65" s="23">
        <v>2000</v>
      </c>
    </row>
    <row r="66" spans="1:5" ht="14" customHeight="1" x14ac:dyDescent="0.2">
      <c r="A66" s="21" t="s">
        <v>107</v>
      </c>
      <c r="B66" s="23">
        <f>490.32</f>
        <v>490.32</v>
      </c>
      <c r="C66" s="23">
        <f>B66</f>
        <v>490.32</v>
      </c>
      <c r="D66" s="23"/>
      <c r="E66" s="23">
        <v>1000</v>
      </c>
    </row>
    <row r="67" spans="1:5" ht="14" customHeight="1" x14ac:dyDescent="0.2">
      <c r="A67" s="21" t="s">
        <v>57</v>
      </c>
      <c r="B67" s="24">
        <f>(((((((((((B54)+(B55))+(B56))+(B57))+(B58))+(B59))+(B60))+(B62))+(B63))+(B64))+(B65))+(B66)</f>
        <v>54197.39</v>
      </c>
      <c r="C67" s="24">
        <f>SUM(C55:C66)</f>
        <v>54197.39</v>
      </c>
      <c r="D67" s="24"/>
      <c r="E67" s="24">
        <f>(((((((((((E54)+(E55))+(E56))+(E57))+(E58))+(E59))+(E60))+(E62))+(E63))+(E64))+(E65))+(E66)+E61</f>
        <v>55650</v>
      </c>
    </row>
    <row r="68" spans="1:5" ht="14" customHeight="1" x14ac:dyDescent="0.2">
      <c r="A68" s="21" t="s">
        <v>58</v>
      </c>
      <c r="B68" s="23">
        <v>135</v>
      </c>
      <c r="C68" s="23">
        <f>B68</f>
        <v>135</v>
      </c>
      <c r="D68" s="23"/>
      <c r="E68" s="23">
        <v>150</v>
      </c>
    </row>
    <row r="69" spans="1:5" ht="14" customHeight="1" x14ac:dyDescent="0.2">
      <c r="A69" s="21" t="s">
        <v>59</v>
      </c>
      <c r="B69" s="22"/>
      <c r="C69" s="22"/>
      <c r="D69" s="22"/>
      <c r="E69" s="23"/>
    </row>
    <row r="70" spans="1:5" ht="14" customHeight="1" x14ac:dyDescent="0.2">
      <c r="A70" s="21" t="s">
        <v>60</v>
      </c>
      <c r="B70" s="23">
        <v>4128</v>
      </c>
      <c r="C70" s="23">
        <v>4300</v>
      </c>
      <c r="D70" s="23"/>
      <c r="E70" s="25">
        <v>4300</v>
      </c>
    </row>
    <row r="71" spans="1:5" ht="14" customHeight="1" x14ac:dyDescent="0.2">
      <c r="A71" s="21" t="s">
        <v>61</v>
      </c>
      <c r="B71" s="23">
        <v>3464</v>
      </c>
      <c r="C71" s="23">
        <v>3464</v>
      </c>
      <c r="D71" s="23"/>
      <c r="E71" s="25">
        <v>3400</v>
      </c>
    </row>
    <row r="72" spans="1:5" ht="14" customHeight="1" x14ac:dyDescent="0.2">
      <c r="A72" s="21" t="s">
        <v>50</v>
      </c>
      <c r="B72" s="23">
        <v>1325</v>
      </c>
      <c r="C72" s="23">
        <v>1325</v>
      </c>
      <c r="D72" s="23"/>
      <c r="E72" s="25">
        <v>2500</v>
      </c>
    </row>
    <row r="73" spans="1:5" ht="14" customHeight="1" x14ac:dyDescent="0.2">
      <c r="A73" s="21" t="s">
        <v>108</v>
      </c>
      <c r="B73" s="23">
        <f>599.45</f>
        <v>599.45000000000005</v>
      </c>
      <c r="C73" s="23">
        <v>599</v>
      </c>
      <c r="D73" s="23"/>
      <c r="E73" s="25">
        <v>0</v>
      </c>
    </row>
    <row r="74" spans="1:5" ht="14" customHeight="1" x14ac:dyDescent="0.2">
      <c r="A74" s="21" t="s">
        <v>62</v>
      </c>
      <c r="B74" s="23">
        <v>8619</v>
      </c>
      <c r="C74" s="23">
        <v>8619</v>
      </c>
      <c r="D74" s="23"/>
      <c r="E74" s="25">
        <v>10000</v>
      </c>
    </row>
    <row r="75" spans="1:5" ht="14" customHeight="1" x14ac:dyDescent="0.2">
      <c r="A75" s="21" t="s">
        <v>52</v>
      </c>
      <c r="B75" s="23">
        <v>7264</v>
      </c>
      <c r="C75" s="23">
        <v>7264</v>
      </c>
      <c r="D75" s="23"/>
      <c r="E75" s="25">
        <v>8000</v>
      </c>
    </row>
    <row r="76" spans="1:5" ht="14" customHeight="1" x14ac:dyDescent="0.2">
      <c r="A76" s="21" t="s">
        <v>54</v>
      </c>
      <c r="B76" s="22">
        <v>176</v>
      </c>
      <c r="C76" s="22">
        <v>176</v>
      </c>
      <c r="D76" s="23"/>
      <c r="E76" s="25">
        <v>300</v>
      </c>
    </row>
    <row r="77" spans="1:5" ht="14" customHeight="1" x14ac:dyDescent="0.2">
      <c r="A77" s="21" t="s">
        <v>63</v>
      </c>
      <c r="B77" s="22">
        <v>952</v>
      </c>
      <c r="C77" s="22">
        <v>952</v>
      </c>
      <c r="D77" s="23"/>
      <c r="E77" s="25">
        <v>2500</v>
      </c>
    </row>
    <row r="78" spans="1:5" ht="14" customHeight="1" x14ac:dyDescent="0.2">
      <c r="A78" s="21" t="s">
        <v>64</v>
      </c>
      <c r="B78" s="23">
        <v>1124</v>
      </c>
      <c r="C78" s="23">
        <v>1124</v>
      </c>
      <c r="D78" s="23"/>
      <c r="E78" s="25">
        <v>1200</v>
      </c>
    </row>
    <row r="79" spans="1:5" ht="14" customHeight="1" x14ac:dyDescent="0.2">
      <c r="A79" s="21" t="s">
        <v>65</v>
      </c>
      <c r="B79" s="23">
        <v>585</v>
      </c>
      <c r="C79" s="23">
        <v>585</v>
      </c>
      <c r="D79" s="23"/>
      <c r="E79" s="25">
        <v>1400</v>
      </c>
    </row>
    <row r="80" spans="1:5" ht="14" customHeight="1" x14ac:dyDescent="0.2">
      <c r="A80" s="21" t="s">
        <v>66</v>
      </c>
      <c r="B80" s="24">
        <f>((((((((((B69)+(B70))+(B71))+(B72))+(B73))+(B74))+(B75))+(B76))+(B77))+(B78))+(B79)</f>
        <v>28236.45</v>
      </c>
      <c r="C80" s="24">
        <f>SUM(C70:C79)</f>
        <v>28408</v>
      </c>
      <c r="D80" s="24"/>
      <c r="E80" s="24">
        <f>((((((((((E69)+(E70))+(E71))+(E72))+(E73))+(E74))+(E75))+(E76))+(E77))+(E78))+(E79)</f>
        <v>33600</v>
      </c>
    </row>
    <row r="81" spans="1:5" ht="14" customHeight="1" x14ac:dyDescent="0.2">
      <c r="A81" s="21" t="s">
        <v>67</v>
      </c>
      <c r="B81" s="24">
        <f>((((B49)+(B53))+(B67))+(B68))+(B80)</f>
        <v>87453.04</v>
      </c>
      <c r="C81" s="24">
        <f>((((C49)+(C53))+(C67))+(C68))+(C80)</f>
        <v>87622.39</v>
      </c>
      <c r="D81" s="24"/>
      <c r="E81" s="24">
        <f>((((E49)+(E53))+(E67))+(E68))+(E80)</f>
        <v>94200</v>
      </c>
    </row>
    <row r="82" spans="1:5" ht="14" customHeight="1" x14ac:dyDescent="0.2">
      <c r="A82" s="21" t="s">
        <v>68</v>
      </c>
      <c r="B82" s="22"/>
      <c r="C82" s="22"/>
      <c r="D82" s="22"/>
      <c r="E82" s="23"/>
    </row>
    <row r="83" spans="1:5" ht="14" customHeight="1" x14ac:dyDescent="0.2">
      <c r="A83" s="21" t="s">
        <v>69</v>
      </c>
      <c r="B83" s="23">
        <f>8500</f>
        <v>8500</v>
      </c>
      <c r="C83" s="23">
        <f>B83</f>
        <v>8500</v>
      </c>
      <c r="D83" s="23"/>
      <c r="E83" s="23">
        <v>8500</v>
      </c>
    </row>
    <row r="84" spans="1:5" ht="14" customHeight="1" x14ac:dyDescent="0.2">
      <c r="A84" s="21" t="s">
        <v>70</v>
      </c>
      <c r="B84" s="24">
        <f>(B82)+(B83)</f>
        <v>8500</v>
      </c>
      <c r="C84" s="24">
        <f>C83</f>
        <v>8500</v>
      </c>
      <c r="D84" s="24"/>
      <c r="E84" s="24">
        <f>(E82)+(E83)</f>
        <v>8500</v>
      </c>
    </row>
    <row r="85" spans="1:5" ht="14" customHeight="1" x14ac:dyDescent="0.2">
      <c r="A85" s="21" t="s">
        <v>71</v>
      </c>
      <c r="B85" s="22"/>
      <c r="C85" s="22"/>
      <c r="D85" s="22"/>
      <c r="E85" s="23"/>
    </row>
    <row r="86" spans="1:5" ht="14" customHeight="1" x14ac:dyDescent="0.2">
      <c r="A86" s="21" t="s">
        <v>72</v>
      </c>
      <c r="B86" s="23">
        <f>3000</f>
        <v>3000</v>
      </c>
      <c r="C86" s="23">
        <f>B86</f>
        <v>3000</v>
      </c>
      <c r="D86" s="23"/>
      <c r="E86" s="23">
        <v>0</v>
      </c>
    </row>
    <row r="87" spans="1:5" ht="14" customHeight="1" x14ac:dyDescent="0.2">
      <c r="A87" s="21" t="s">
        <v>73</v>
      </c>
      <c r="B87" s="23">
        <f>1354.79</f>
        <v>1354.79</v>
      </c>
      <c r="C87" s="23">
        <v>2000</v>
      </c>
      <c r="D87" s="23"/>
      <c r="E87" s="23">
        <v>2000</v>
      </c>
    </row>
    <row r="88" spans="1:5" ht="14" customHeight="1" x14ac:dyDescent="0.2">
      <c r="A88" s="21" t="s">
        <v>74</v>
      </c>
      <c r="B88" s="22">
        <v>0</v>
      </c>
      <c r="C88" s="22">
        <v>500</v>
      </c>
      <c r="D88" s="23"/>
      <c r="E88" s="23">
        <v>500</v>
      </c>
    </row>
    <row r="89" spans="1:5" ht="14" customHeight="1" x14ac:dyDescent="0.2">
      <c r="A89" s="21" t="s">
        <v>109</v>
      </c>
      <c r="B89" s="23">
        <v>2243</v>
      </c>
      <c r="C89" s="23">
        <v>3000</v>
      </c>
      <c r="D89" s="23"/>
      <c r="E89" s="23">
        <v>0</v>
      </c>
    </row>
    <row r="90" spans="1:5" ht="14" customHeight="1" x14ac:dyDescent="0.2">
      <c r="A90" s="21" t="s">
        <v>75</v>
      </c>
      <c r="B90" s="23">
        <f>1824.06</f>
        <v>1824.06</v>
      </c>
      <c r="C90" s="23">
        <f>B90</f>
        <v>1824.06</v>
      </c>
      <c r="D90" s="23"/>
      <c r="E90" s="23">
        <v>1825</v>
      </c>
    </row>
    <row r="91" spans="1:5" ht="14" customHeight="1" x14ac:dyDescent="0.2">
      <c r="A91" s="21" t="s">
        <v>76</v>
      </c>
      <c r="B91" s="24">
        <f>(((((B85)+(B86))+(B87))+(B88))+(B89))+(B90)</f>
        <v>8421.85</v>
      </c>
      <c r="C91" s="24">
        <f>SUM(C86:C90)</f>
        <v>10324.06</v>
      </c>
      <c r="D91" s="24"/>
      <c r="E91" s="24">
        <f>(((((E85)+(E86))+(E87))+(E88))+(E89))+(E90)</f>
        <v>4325</v>
      </c>
    </row>
    <row r="92" spans="1:5" ht="14" customHeight="1" x14ac:dyDescent="0.2">
      <c r="A92" s="21" t="s">
        <v>77</v>
      </c>
      <c r="B92" s="22"/>
      <c r="C92" s="22"/>
      <c r="D92" s="22"/>
      <c r="E92" s="23"/>
    </row>
    <row r="93" spans="1:5" ht="14" customHeight="1" x14ac:dyDescent="0.2">
      <c r="A93" s="21" t="s">
        <v>78</v>
      </c>
      <c r="B93" s="23">
        <f>220.63</f>
        <v>220.63</v>
      </c>
      <c r="C93" s="23">
        <f>B93</f>
        <v>220.63</v>
      </c>
      <c r="D93" s="23"/>
      <c r="E93" s="23">
        <v>250</v>
      </c>
    </row>
    <row r="94" spans="1:5" ht="14" customHeight="1" x14ac:dyDescent="0.2">
      <c r="A94" s="21" t="s">
        <v>79</v>
      </c>
      <c r="B94" s="24">
        <f>(B92)+(B93)</f>
        <v>220.63</v>
      </c>
      <c r="C94" s="24">
        <f>C93</f>
        <v>220.63</v>
      </c>
      <c r="D94" s="24"/>
      <c r="E94" s="24">
        <f>(E92)+(E93)</f>
        <v>250</v>
      </c>
    </row>
    <row r="95" spans="1:5" ht="14" customHeight="1" x14ac:dyDescent="0.2">
      <c r="A95" s="21" t="s">
        <v>80</v>
      </c>
      <c r="B95" s="22"/>
      <c r="C95" s="22"/>
      <c r="D95" s="22"/>
      <c r="E95" s="23"/>
    </row>
    <row r="96" spans="1:5" ht="14" customHeight="1" x14ac:dyDescent="0.2">
      <c r="A96" s="21" t="s">
        <v>81</v>
      </c>
      <c r="B96" s="23">
        <v>6374</v>
      </c>
      <c r="C96" s="23">
        <v>7200</v>
      </c>
      <c r="D96" s="23"/>
      <c r="E96" s="23">
        <v>7200</v>
      </c>
    </row>
    <row r="97" spans="1:5" ht="14" customHeight="1" x14ac:dyDescent="0.2">
      <c r="A97" s="21" t="s">
        <v>110</v>
      </c>
      <c r="B97" s="23">
        <f>11000.34</f>
        <v>11000.34</v>
      </c>
      <c r="C97" s="23">
        <f>B97</f>
        <v>11000.34</v>
      </c>
      <c r="D97" s="23"/>
      <c r="E97" s="25">
        <v>25000</v>
      </c>
    </row>
    <row r="98" spans="1:5" ht="27" customHeight="1" x14ac:dyDescent="0.2">
      <c r="A98" s="21" t="s">
        <v>82</v>
      </c>
      <c r="B98" s="22">
        <v>408</v>
      </c>
      <c r="C98" s="22">
        <v>1000</v>
      </c>
      <c r="D98" s="23"/>
      <c r="E98" s="23">
        <v>1000</v>
      </c>
    </row>
    <row r="99" spans="1:5" ht="14" customHeight="1" x14ac:dyDescent="0.2">
      <c r="A99" s="26" t="s">
        <v>83</v>
      </c>
      <c r="B99" s="22"/>
      <c r="C99" s="22">
        <v>1000</v>
      </c>
      <c r="D99" s="23"/>
      <c r="E99" s="25">
        <v>1000</v>
      </c>
    </row>
    <row r="100" spans="1:5" ht="14" customHeight="1" x14ac:dyDescent="0.2">
      <c r="A100" s="21" t="s">
        <v>84</v>
      </c>
      <c r="B100" s="24">
        <f>((((B95)+(B96))+(B97))+(B98))+(B99)</f>
        <v>17782.34</v>
      </c>
      <c r="C100" s="24">
        <f>SUM(C96:C99)</f>
        <v>20200.34</v>
      </c>
      <c r="D100" s="24"/>
      <c r="E100" s="24">
        <f>((((E95)+(E96))+(E97))+(E98))+(E99)</f>
        <v>34200</v>
      </c>
    </row>
    <row r="101" spans="1:5" ht="14" customHeight="1" x14ac:dyDescent="0.2">
      <c r="A101" s="21" t="s">
        <v>85</v>
      </c>
      <c r="B101" s="22"/>
      <c r="C101" s="22"/>
      <c r="D101" s="22"/>
      <c r="E101" s="23"/>
    </row>
    <row r="102" spans="1:5" ht="14" customHeight="1" x14ac:dyDescent="0.2">
      <c r="A102" s="21" t="s">
        <v>111</v>
      </c>
      <c r="B102" s="22"/>
      <c r="C102" s="22">
        <v>750</v>
      </c>
      <c r="D102" s="23"/>
      <c r="E102" s="23">
        <v>0</v>
      </c>
    </row>
    <row r="103" spans="1:5" ht="14" customHeight="1" x14ac:dyDescent="0.2">
      <c r="A103" s="21" t="s">
        <v>86</v>
      </c>
      <c r="B103" s="23">
        <f>11455</f>
        <v>11455</v>
      </c>
      <c r="C103" s="23">
        <f>B103</f>
        <v>11455</v>
      </c>
      <c r="D103" s="23"/>
      <c r="E103" s="23">
        <v>12456</v>
      </c>
    </row>
    <row r="104" spans="1:5" ht="14" customHeight="1" x14ac:dyDescent="0.2">
      <c r="A104" s="21" t="s">
        <v>87</v>
      </c>
      <c r="B104" s="23">
        <f>16904</f>
        <v>16904</v>
      </c>
      <c r="C104" s="23">
        <v>16904</v>
      </c>
      <c r="D104" s="23"/>
      <c r="E104" s="23">
        <v>16962</v>
      </c>
    </row>
    <row r="105" spans="1:5" ht="14" customHeight="1" x14ac:dyDescent="0.2">
      <c r="A105" s="21" t="s">
        <v>88</v>
      </c>
      <c r="B105" s="22">
        <v>1573</v>
      </c>
      <c r="C105" s="22">
        <v>3000</v>
      </c>
      <c r="D105" s="23"/>
      <c r="E105" s="23">
        <v>3000</v>
      </c>
    </row>
    <row r="106" spans="1:5" ht="14" customHeight="1" x14ac:dyDescent="0.2">
      <c r="A106" s="21" t="s">
        <v>89</v>
      </c>
      <c r="B106" s="23">
        <f>22500</f>
        <v>22500</v>
      </c>
      <c r="C106" s="23">
        <f>B106</f>
        <v>22500</v>
      </c>
      <c r="D106" s="23"/>
      <c r="E106" s="23">
        <v>24500</v>
      </c>
    </row>
    <row r="107" spans="1:5" ht="14" customHeight="1" x14ac:dyDescent="0.2">
      <c r="A107" s="21" t="s">
        <v>112</v>
      </c>
      <c r="B107" s="22"/>
      <c r="C107" s="22">
        <v>4000</v>
      </c>
      <c r="D107" s="23"/>
      <c r="E107" s="23">
        <v>4000</v>
      </c>
    </row>
    <row r="108" spans="1:5" ht="14" customHeight="1" x14ac:dyDescent="0.2">
      <c r="A108" s="21" t="s">
        <v>90</v>
      </c>
      <c r="B108" s="24">
        <f>((((((B101)+(B102))+(B103))+(B104))+(B105))+(B106))+(B107)</f>
        <v>52432</v>
      </c>
      <c r="C108" s="24">
        <f>SUM(C102:C107)</f>
        <v>58609</v>
      </c>
      <c r="D108" s="24"/>
      <c r="E108" s="24">
        <f>((((((E101)+(E102))+(E103))+(E104))+(E105))+(E106))+(E107)</f>
        <v>60918</v>
      </c>
    </row>
    <row r="109" spans="1:5" ht="14" customHeight="1" x14ac:dyDescent="0.2">
      <c r="A109" s="21" t="s">
        <v>91</v>
      </c>
      <c r="B109" s="22"/>
      <c r="C109" s="22"/>
      <c r="D109" s="22"/>
      <c r="E109" s="23"/>
    </row>
    <row r="110" spans="1:5" ht="14" customHeight="1" x14ac:dyDescent="0.2">
      <c r="A110" s="26" t="s">
        <v>118</v>
      </c>
      <c r="B110" s="22"/>
      <c r="C110" s="22">
        <v>3250</v>
      </c>
      <c r="D110" s="23"/>
      <c r="E110" s="23">
        <v>3250</v>
      </c>
    </row>
    <row r="111" spans="1:5" ht="14" customHeight="1" x14ac:dyDescent="0.2">
      <c r="A111" s="21" t="s">
        <v>92</v>
      </c>
      <c r="B111" s="23">
        <f>22534</f>
        <v>22534</v>
      </c>
      <c r="C111" s="23">
        <v>22534</v>
      </c>
      <c r="D111" s="23"/>
      <c r="E111" s="23">
        <v>27508</v>
      </c>
    </row>
    <row r="112" spans="1:5" ht="14" customHeight="1" x14ac:dyDescent="0.2">
      <c r="A112" s="21" t="s">
        <v>93</v>
      </c>
      <c r="B112" s="23">
        <f>83812</f>
        <v>83812</v>
      </c>
      <c r="C112" s="23">
        <v>83812</v>
      </c>
      <c r="D112" s="23"/>
      <c r="E112" s="27">
        <f>101767-16962</f>
        <v>84805</v>
      </c>
    </row>
    <row r="113" spans="1:8" ht="14" customHeight="1" x14ac:dyDescent="0.2">
      <c r="A113" s="26" t="s">
        <v>116</v>
      </c>
      <c r="B113" s="23"/>
      <c r="C113" s="23"/>
      <c r="D113" s="23"/>
      <c r="E113" s="25">
        <v>16962</v>
      </c>
    </row>
    <row r="114" spans="1:8" ht="14" customHeight="1" x14ac:dyDescent="0.2">
      <c r="A114" s="21" t="s">
        <v>94</v>
      </c>
      <c r="B114" s="23">
        <v>27383</v>
      </c>
      <c r="C114" s="23">
        <f>B114</f>
        <v>27383</v>
      </c>
      <c r="D114" s="23"/>
      <c r="E114" s="23">
        <v>33887</v>
      </c>
    </row>
    <row r="115" spans="1:8" ht="14" customHeight="1" x14ac:dyDescent="0.2">
      <c r="A115" s="21" t="s">
        <v>95</v>
      </c>
      <c r="B115" s="23">
        <f>18675</f>
        <v>18675</v>
      </c>
      <c r="C115" s="23">
        <v>18675</v>
      </c>
      <c r="D115" s="23"/>
      <c r="E115" s="23">
        <v>19178</v>
      </c>
    </row>
    <row r="116" spans="1:8" ht="14" customHeight="1" x14ac:dyDescent="0.2">
      <c r="A116" s="21" t="s">
        <v>96</v>
      </c>
      <c r="B116" s="22">
        <v>8044</v>
      </c>
      <c r="C116" s="22">
        <v>12000</v>
      </c>
      <c r="D116" s="23"/>
      <c r="E116" s="23">
        <v>13563</v>
      </c>
    </row>
    <row r="117" spans="1:8" ht="14" customHeight="1" x14ac:dyDescent="0.2">
      <c r="A117" s="21" t="s">
        <v>112</v>
      </c>
      <c r="B117" s="22"/>
      <c r="C117" s="22">
        <v>15000</v>
      </c>
      <c r="D117" s="23"/>
      <c r="E117" s="23">
        <v>15000</v>
      </c>
    </row>
    <row r="118" spans="1:8" ht="14" customHeight="1" x14ac:dyDescent="0.2">
      <c r="A118" s="21" t="s">
        <v>97</v>
      </c>
      <c r="B118" s="22"/>
      <c r="C118" s="22">
        <v>0</v>
      </c>
      <c r="D118" s="23"/>
      <c r="E118" s="23">
        <v>2500</v>
      </c>
    </row>
    <row r="119" spans="1:8" ht="14" customHeight="1" x14ac:dyDescent="0.2">
      <c r="A119" s="21" t="s">
        <v>98</v>
      </c>
      <c r="B119" s="24">
        <f>((((((((B109)+(B110))+(B111))+(B112))+(B114))+(B115))+(B116))+(B117))+(B118)</f>
        <v>160448</v>
      </c>
      <c r="C119" s="24">
        <f>SUM(C110:C118)</f>
        <v>182654</v>
      </c>
      <c r="D119" s="24"/>
      <c r="E119" s="24">
        <f>((((((((E109)+(E110))+(E111))+(E112))+(E114))+(E115))+(E116))+(E117))+(E10+E1110)+E113+E118</f>
        <v>216653</v>
      </c>
    </row>
    <row r="120" spans="1:8" ht="14" customHeight="1" x14ac:dyDescent="0.2">
      <c r="A120" s="21" t="s">
        <v>99</v>
      </c>
      <c r="B120" s="24">
        <f>((((((((B47)+(B48))+(B81))+(B84))+(B91))+(B94))+(B100))+(B108))+(B119)</f>
        <v>341210.46</v>
      </c>
      <c r="C120" s="24">
        <f>((((((((C47)+(C48))+(C81))+(C84))+(C91))+(C94))+(C100))+(C108))+(C119)</f>
        <v>374601.42000000004</v>
      </c>
      <c r="D120" s="24"/>
      <c r="E120" s="24">
        <f>((((((((E47)+(E48))+(E81))+(E84))+(E91))+(E94))+(E100))+(E108))+(E119)</f>
        <v>426486</v>
      </c>
    </row>
    <row r="121" spans="1:8" ht="14" customHeight="1" x14ac:dyDescent="0.2">
      <c r="A121" s="21" t="s">
        <v>100</v>
      </c>
      <c r="B121" s="24">
        <f>(B35)-(B120)</f>
        <v>47884.490000000049</v>
      </c>
      <c r="C121" s="24">
        <f>(C35)-(C120)</f>
        <v>18673.5</v>
      </c>
      <c r="D121" s="24"/>
      <c r="E121" s="24">
        <f>(E35)-(E120)</f>
        <v>-66736</v>
      </c>
    </row>
    <row r="122" spans="1:8" ht="14" customHeight="1" x14ac:dyDescent="0.2">
      <c r="A122" s="21" t="s">
        <v>101</v>
      </c>
      <c r="B122" s="24">
        <f>(B121)+(0)</f>
        <v>47884.490000000049</v>
      </c>
      <c r="C122" s="24">
        <f>(C121)+(0)</f>
        <v>18673.5</v>
      </c>
      <c r="D122" s="24"/>
      <c r="E122" s="24">
        <f>(E121)+(0)</f>
        <v>-66736</v>
      </c>
    </row>
    <row r="123" spans="1:8" ht="14" customHeight="1" x14ac:dyDescent="0.2">
      <c r="A123" s="21"/>
      <c r="B123" s="22"/>
      <c r="C123" s="22"/>
      <c r="D123" s="22"/>
      <c r="E123" s="22"/>
    </row>
    <row r="124" spans="1:8" ht="14" customHeight="1" thickBot="1" x14ac:dyDescent="0.25"/>
    <row r="125" spans="1:8" s="16" customFormat="1" ht="15" x14ac:dyDescent="0.2">
      <c r="A125" s="5"/>
      <c r="B125" s="6"/>
      <c r="C125" s="7"/>
      <c r="D125" s="1"/>
      <c r="E125" s="2"/>
      <c r="F125" s="2"/>
      <c r="H125" s="15"/>
    </row>
    <row r="126" spans="1:8" s="16" customFormat="1" ht="15" x14ac:dyDescent="0.2">
      <c r="A126" s="8" t="s">
        <v>122</v>
      </c>
      <c r="B126" s="9">
        <v>212970</v>
      </c>
      <c r="C126" s="10"/>
      <c r="D126" s="1"/>
      <c r="E126" s="2"/>
      <c r="F126" s="2"/>
      <c r="H126" s="17"/>
    </row>
    <row r="127" spans="1:8" s="16" customFormat="1" ht="15" x14ac:dyDescent="0.2">
      <c r="A127" s="8" t="s">
        <v>103</v>
      </c>
      <c r="B127" s="3">
        <f>B120-C120</f>
        <v>-33390.960000000021</v>
      </c>
      <c r="C127" s="10"/>
      <c r="D127" s="1"/>
      <c r="E127" s="2"/>
      <c r="F127" s="2"/>
      <c r="H127" s="15"/>
    </row>
    <row r="128" spans="1:8" s="16" customFormat="1" ht="15" x14ac:dyDescent="0.2">
      <c r="A128" s="8" t="s">
        <v>104</v>
      </c>
      <c r="B128" s="9">
        <f>SUM(B126:B127)</f>
        <v>179579.03999999998</v>
      </c>
      <c r="C128" s="11"/>
      <c r="E128" s="2"/>
      <c r="F128" s="2"/>
      <c r="H128" s="17"/>
    </row>
    <row r="129" spans="1:8" s="16" customFormat="1" ht="15" x14ac:dyDescent="0.2">
      <c r="A129" s="8" t="s">
        <v>121</v>
      </c>
      <c r="B129" s="9">
        <v>-120000</v>
      </c>
      <c r="C129" s="11"/>
      <c r="E129" s="2"/>
      <c r="F129" s="2"/>
      <c r="H129" s="15"/>
    </row>
    <row r="130" spans="1:8" s="16" customFormat="1" ht="16" thickBot="1" x14ac:dyDescent="0.25">
      <c r="A130" s="8" t="s">
        <v>105</v>
      </c>
      <c r="B130" s="4">
        <f>SUM(B128:B129)</f>
        <v>59579.039999999979</v>
      </c>
      <c r="C130" s="11"/>
      <c r="E130" s="2"/>
      <c r="F130" s="2"/>
    </row>
    <row r="131" spans="1:8" s="16" customFormat="1" ht="16" thickTop="1" x14ac:dyDescent="0.2">
      <c r="A131" s="8"/>
      <c r="B131" s="9"/>
      <c r="C131" s="11"/>
      <c r="E131" s="2"/>
      <c r="F131" s="2"/>
    </row>
    <row r="132" spans="1:8" s="16" customFormat="1" ht="16" thickBot="1" x14ac:dyDescent="0.25">
      <c r="A132" s="12"/>
      <c r="B132" s="13"/>
      <c r="C132" s="14"/>
      <c r="E132" s="2"/>
      <c r="F132" s="2"/>
    </row>
    <row r="133" spans="1:8" s="16" customFormat="1" ht="15" x14ac:dyDescent="0.2">
      <c r="E133" s="2"/>
      <c r="F133" s="2"/>
    </row>
  </sheetData>
  <mergeCells count="3">
    <mergeCell ref="A1:E1"/>
    <mergeCell ref="A2:E2"/>
    <mergeCell ref="B3:E3"/>
  </mergeCells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activeCell="C7" sqref="C7"/>
    </sheetView>
  </sheetViews>
  <sheetFormatPr baseColWidth="10" defaultRowHeight="15" x14ac:dyDescent="0.2"/>
  <cols>
    <col min="1" max="1" width="19.83203125" customWidth="1"/>
  </cols>
  <sheetData>
    <row r="1" spans="1:3" x14ac:dyDescent="0.2">
      <c r="A1" t="s">
        <v>123</v>
      </c>
    </row>
    <row r="2" spans="1:3" x14ac:dyDescent="0.2">
      <c r="A2" t="s">
        <v>124</v>
      </c>
      <c r="B2">
        <f>'FY20 Budget'!E114</f>
        <v>33887</v>
      </c>
      <c r="C2" s="28">
        <v>34000</v>
      </c>
    </row>
    <row r="3" spans="1:3" x14ac:dyDescent="0.2">
      <c r="A3" t="s">
        <v>125</v>
      </c>
      <c r="B3">
        <f>'FY20 Budget'!E112+'FY20 Budget'!E113</f>
        <v>101767</v>
      </c>
      <c r="C3">
        <v>102000</v>
      </c>
    </row>
    <row r="4" spans="1:3" x14ac:dyDescent="0.2">
      <c r="A4" t="s">
        <v>126</v>
      </c>
      <c r="B4">
        <f>'FY20 Budget'!E104+'FY20 Budget'!E103+'FY20 Budget'!E105+'FY20 Budget'!E106+'FY20 Budget'!E107+'FY20 Budget'!E110+'FY20 Budget'!E111+'FY20 Budget'!E115+'FY20 Budget'!E116+'FY20 Budget'!E117+'FY20 Budget'!E118</f>
        <v>141917</v>
      </c>
      <c r="C4">
        <v>142000</v>
      </c>
    </row>
    <row r="5" spans="1:3" x14ac:dyDescent="0.2">
      <c r="A5" t="s">
        <v>127</v>
      </c>
      <c r="B5">
        <f>'FY20 Budget'!E83+'FY20 Budget'!E91+'FY20 Budget'!E100</f>
        <v>47025</v>
      </c>
      <c r="C5">
        <v>47000</v>
      </c>
    </row>
    <row r="6" spans="1:3" x14ac:dyDescent="0.2">
      <c r="B6">
        <f>SUM(B2:B5)</f>
        <v>324596</v>
      </c>
      <c r="C6" s="28">
        <f>SUM(C2:C5)</f>
        <v>325000</v>
      </c>
    </row>
    <row r="10" spans="1:3" x14ac:dyDescent="0.2">
      <c r="A10" t="s">
        <v>128</v>
      </c>
      <c r="B10">
        <f>'FY20 Budget'!E103+'FY20 Budget'!E104+'FY20 Budget'!E106+'FY20 Budget'!E107+'FY20 Budget'!E110+'FY20 Budget'!E111+'FY20 Budget'!E112+'FY20 Budget'!E113+'FY20 Budget'!E114+'FY20 Budget'!E115+'FY20 Budget'!E116+'FY20 Budget'!E117</f>
        <v>272071</v>
      </c>
      <c r="C10">
        <v>272000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FY20 Budget</vt:lpstr>
      <vt:lpstr>Sheet1</vt:lpstr>
      <vt:lpstr>'FY20 Budget'!Print_Area</vt:lpstr>
      <vt:lpstr>'FY20 Budget'!Print_Titles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sarah grant</cp:lastModifiedBy>
  <cp:lastPrinted>2019-06-03T18:37:48Z</cp:lastPrinted>
  <dcterms:created xsi:type="dcterms:W3CDTF">2018-04-25T05:37:20Z</dcterms:created>
  <dcterms:modified xsi:type="dcterms:W3CDTF">2019-07-29T14:51:07Z</dcterms:modified>
</cp:coreProperties>
</file>