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hGrant/Desktop/"/>
    </mc:Choice>
  </mc:AlternateContent>
  <xr:revisionPtr revIDLastSave="0" documentId="8_{AD1038FA-39BA-5940-B4C0-532075DE3A3A}" xr6:coauthVersionLast="45" xr6:coauthVersionMax="45" xr10:uidLastSave="{00000000-0000-0000-0000-000000000000}"/>
  <bookViews>
    <workbookView xWindow="1040" yWindow="840" windowWidth="25600" windowHeight="16060" activeTab="2" xr2:uid="{00000000-000D-0000-FFFF-FFFF00000000}"/>
  </bookViews>
  <sheets>
    <sheet name="Cash Flow 5.18.20" sheetId="2" state="hidden" r:id="rId1"/>
    <sheet name="Salary - Impact Teachers" sheetId="3" state="hidden" r:id="rId2"/>
    <sheet name="2020-2021 Budget" sheetId="4" r:id="rId3"/>
    <sheet name="High Level Cash Flow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4" l="1"/>
  <c r="F22" i="4" s="1"/>
  <c r="B23" i="4"/>
  <c r="F23" i="4" s="1"/>
  <c r="B24" i="4"/>
  <c r="F24" i="4" s="1"/>
  <c r="B25" i="4"/>
  <c r="F25" i="4" s="1"/>
  <c r="B26" i="4"/>
  <c r="F26" i="4" s="1"/>
  <c r="B27" i="4"/>
  <c r="F27" i="4" s="1"/>
  <c r="B28" i="4"/>
  <c r="F28" i="4" s="1"/>
  <c r="B61" i="4"/>
  <c r="F61" i="4"/>
  <c r="F73" i="4" s="1"/>
  <c r="D13" i="5" s="1"/>
  <c r="B62" i="4"/>
  <c r="F62" i="4"/>
  <c r="B63" i="4"/>
  <c r="F63" i="4"/>
  <c r="C64" i="4"/>
  <c r="F64" i="4"/>
  <c r="B65" i="4"/>
  <c r="F65" i="4"/>
  <c r="B70" i="4"/>
  <c r="F70" i="4"/>
  <c r="B71" i="4"/>
  <c r="F71" i="4"/>
  <c r="B31" i="4"/>
  <c r="F31" i="4" s="1"/>
  <c r="C33" i="4"/>
  <c r="F33" i="4" s="1"/>
  <c r="C34" i="4"/>
  <c r="F34" i="4" s="1"/>
  <c r="C36" i="4"/>
  <c r="F36" i="4"/>
  <c r="C38" i="4"/>
  <c r="F38" i="4" s="1"/>
  <c r="C39" i="4"/>
  <c r="F39" i="4" s="1"/>
  <c r="F14" i="4"/>
  <c r="B16" i="4"/>
  <c r="B19" i="4" s="1"/>
  <c r="B17" i="4"/>
  <c r="B18" i="4"/>
  <c r="F8" i="4"/>
  <c r="C114" i="4"/>
  <c r="F114" i="4"/>
  <c r="F109" i="4"/>
  <c r="F103" i="4"/>
  <c r="D15" i="5" s="1"/>
  <c r="F98" i="4"/>
  <c r="C78" i="4"/>
  <c r="F77" i="4"/>
  <c r="C79" i="4"/>
  <c r="F78" i="4"/>
  <c r="C80" i="4"/>
  <c r="F79" i="4"/>
  <c r="C82" i="4"/>
  <c r="F81" i="4" s="1"/>
  <c r="C83" i="4"/>
  <c r="F82" i="4"/>
  <c r="C85" i="4"/>
  <c r="F84" i="4"/>
  <c r="C86" i="4"/>
  <c r="F85" i="4"/>
  <c r="C77" i="4"/>
  <c r="C87" i="4" s="1"/>
  <c r="F86" i="4" s="1"/>
  <c r="C81" i="4"/>
  <c r="C84" i="4"/>
  <c r="C57" i="4"/>
  <c r="F57" i="4"/>
  <c r="F59" i="4" s="1"/>
  <c r="D12" i="5" s="1"/>
  <c r="B58" i="4"/>
  <c r="F58" i="4" s="1"/>
  <c r="F92" i="4"/>
  <c r="F52" i="4"/>
  <c r="C54" i="4"/>
  <c r="F54" i="4"/>
  <c r="B29" i="4"/>
  <c r="B64" i="4"/>
  <c r="B69" i="4"/>
  <c r="B72" i="4"/>
  <c r="B73" i="4"/>
  <c r="B75" i="3"/>
  <c r="B79" i="3" s="1"/>
  <c r="B29" i="3"/>
  <c r="B33" i="3"/>
  <c r="B35" i="3" s="1"/>
  <c r="D22" i="5"/>
  <c r="D29" i="2"/>
  <c r="D6" i="2"/>
  <c r="D32" i="2"/>
  <c r="D34" i="2" s="1"/>
  <c r="D37" i="2"/>
  <c r="D38" i="2"/>
  <c r="D39" i="2"/>
  <c r="C44" i="2"/>
  <c r="D44" i="2" s="1"/>
  <c r="D23" i="5"/>
  <c r="D20" i="5"/>
  <c r="D19" i="5"/>
  <c r="D18" i="5"/>
  <c r="D17" i="5"/>
  <c r="D16" i="5"/>
  <c r="D11" i="5"/>
  <c r="D10" i="5"/>
  <c r="C14" i="4"/>
  <c r="C7" i="4"/>
  <c r="C8" i="4"/>
  <c r="C11" i="4"/>
  <c r="C15" i="4"/>
  <c r="C19" i="4" s="1"/>
  <c r="C20" i="4" s="1"/>
  <c r="C16" i="4"/>
  <c r="C17" i="4"/>
  <c r="C18" i="4"/>
  <c r="C22" i="4"/>
  <c r="C29" i="4" s="1"/>
  <c r="D29" i="4" s="1"/>
  <c r="C23" i="4"/>
  <c r="C24" i="4"/>
  <c r="C25" i="4"/>
  <c r="C26" i="4"/>
  <c r="C27" i="4"/>
  <c r="C28" i="4"/>
  <c r="C30" i="4"/>
  <c r="C31" i="4"/>
  <c r="C35" i="4"/>
  <c r="C37" i="4"/>
  <c r="C40" i="4" s="1"/>
  <c r="D40" i="4" s="1"/>
  <c r="C91" i="4"/>
  <c r="B77" i="4"/>
  <c r="B87" i="4" s="1"/>
  <c r="D87" i="4" s="1"/>
  <c r="B7" i="4"/>
  <c r="B8" i="4" s="1"/>
  <c r="B30" i="4"/>
  <c r="B34" i="4"/>
  <c r="B35" i="4"/>
  <c r="B39" i="4"/>
  <c r="B40" i="4"/>
  <c r="B45" i="4"/>
  <c r="B52" i="4" s="1"/>
  <c r="B46" i="4"/>
  <c r="B47" i="4"/>
  <c r="B48" i="4"/>
  <c r="B49" i="4"/>
  <c r="B50" i="4"/>
  <c r="B51" i="4"/>
  <c r="B54" i="4"/>
  <c r="B57" i="4"/>
  <c r="B59" i="4" s="1"/>
  <c r="B79" i="4"/>
  <c r="B80" i="4"/>
  <c r="B81" i="4"/>
  <c r="B82" i="4"/>
  <c r="B85" i="4"/>
  <c r="B86" i="4"/>
  <c r="D86" i="4" s="1"/>
  <c r="B91" i="4"/>
  <c r="B92" i="4"/>
  <c r="B94" i="4"/>
  <c r="B98" i="4" s="1"/>
  <c r="D98" i="4" s="1"/>
  <c r="B95" i="4"/>
  <c r="D95" i="4" s="1"/>
  <c r="B96" i="4"/>
  <c r="B97" i="4"/>
  <c r="B100" i="4"/>
  <c r="B101" i="4"/>
  <c r="B102" i="4"/>
  <c r="D102" i="4" s="1"/>
  <c r="B103" i="4"/>
  <c r="B105" i="4"/>
  <c r="B109" i="4" s="1"/>
  <c r="B106" i="4"/>
  <c r="B107" i="4"/>
  <c r="B111" i="4"/>
  <c r="B112" i="4"/>
  <c r="B113" i="4"/>
  <c r="B116" i="4" s="1"/>
  <c r="B114" i="4"/>
  <c r="D114" i="4" s="1"/>
  <c r="B119" i="4"/>
  <c r="D119" i="4" s="1"/>
  <c r="B120" i="4"/>
  <c r="B121" i="4"/>
  <c r="B122" i="4"/>
  <c r="B123" i="4"/>
  <c r="B126" i="4"/>
  <c r="C45" i="4"/>
  <c r="C52" i="4" s="1"/>
  <c r="C46" i="4"/>
  <c r="C47" i="4"/>
  <c r="C48" i="4"/>
  <c r="C49" i="4"/>
  <c r="C50" i="4"/>
  <c r="C51" i="4"/>
  <c r="C58" i="4"/>
  <c r="C59" i="4" s="1"/>
  <c r="C88" i="4" s="1"/>
  <c r="C61" i="4"/>
  <c r="C62" i="4"/>
  <c r="C63" i="4"/>
  <c r="C65" i="4"/>
  <c r="C66" i="4"/>
  <c r="C67" i="4"/>
  <c r="C68" i="4"/>
  <c r="D68" i="4" s="1"/>
  <c r="C69" i="4"/>
  <c r="C70" i="4"/>
  <c r="C71" i="4"/>
  <c r="C72" i="4"/>
  <c r="C73" i="4"/>
  <c r="C75" i="4"/>
  <c r="C92" i="4"/>
  <c r="C94" i="4"/>
  <c r="C95" i="4"/>
  <c r="C96" i="4"/>
  <c r="C97" i="4"/>
  <c r="C98" i="4"/>
  <c r="C100" i="4"/>
  <c r="C103" i="4" s="1"/>
  <c r="C101" i="4"/>
  <c r="C102" i="4"/>
  <c r="C105" i="4"/>
  <c r="C106" i="4"/>
  <c r="C107" i="4"/>
  <c r="C109" i="4" s="1"/>
  <c r="C108" i="4"/>
  <c r="C111" i="4"/>
  <c r="D111" i="4" s="1"/>
  <c r="C112" i="4"/>
  <c r="D112" i="4" s="1"/>
  <c r="C113" i="4"/>
  <c r="C115" i="4"/>
  <c r="C118" i="4"/>
  <c r="D118" i="4" s="1"/>
  <c r="C119" i="4"/>
  <c r="C126" i="4" s="1"/>
  <c r="C120" i="4"/>
  <c r="D120" i="4" s="1"/>
  <c r="C121" i="4"/>
  <c r="C122" i="4"/>
  <c r="D122" i="4" s="1"/>
  <c r="C123" i="4"/>
  <c r="C124" i="4"/>
  <c r="C125" i="4"/>
  <c r="D125" i="4"/>
  <c r="D124" i="4"/>
  <c r="D123" i="4"/>
  <c r="D121" i="4"/>
  <c r="D117" i="4"/>
  <c r="D115" i="4"/>
  <c r="D113" i="4"/>
  <c r="D110" i="4"/>
  <c r="D108" i="4"/>
  <c r="D107" i="4"/>
  <c r="D106" i="4"/>
  <c r="D105" i="4"/>
  <c r="D104" i="4"/>
  <c r="D101" i="4"/>
  <c r="D100" i="4"/>
  <c r="D99" i="4"/>
  <c r="D97" i="4"/>
  <c r="D96" i="4"/>
  <c r="D93" i="4"/>
  <c r="D92" i="4"/>
  <c r="D91" i="4"/>
  <c r="D89" i="4"/>
  <c r="D85" i="4"/>
  <c r="D84" i="4"/>
  <c r="D83" i="4"/>
  <c r="D82" i="4"/>
  <c r="D81" i="4"/>
  <c r="D80" i="4"/>
  <c r="D79" i="4"/>
  <c r="D78" i="4"/>
  <c r="D77" i="4"/>
  <c r="D76" i="4"/>
  <c r="D75" i="4"/>
  <c r="D73" i="4"/>
  <c r="D72" i="4"/>
  <c r="D71" i="4"/>
  <c r="D70" i="4"/>
  <c r="D69" i="4"/>
  <c r="D67" i="4"/>
  <c r="D66" i="4"/>
  <c r="D65" i="4"/>
  <c r="D64" i="4"/>
  <c r="D63" i="4"/>
  <c r="D62" i="4"/>
  <c r="D61" i="4"/>
  <c r="D60" i="4"/>
  <c r="D58" i="4"/>
  <c r="D57" i="4"/>
  <c r="D56" i="4"/>
  <c r="D55" i="4"/>
  <c r="D54" i="4"/>
  <c r="D51" i="4"/>
  <c r="D50" i="4"/>
  <c r="D49" i="4"/>
  <c r="D48" i="4"/>
  <c r="D47" i="4"/>
  <c r="D46" i="4"/>
  <c r="D45" i="4"/>
  <c r="D44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18" i="4"/>
  <c r="D17" i="4"/>
  <c r="D16" i="4"/>
  <c r="D15" i="4"/>
  <c r="D14" i="4"/>
  <c r="D13" i="4"/>
  <c r="D11" i="4"/>
  <c r="D7" i="4"/>
  <c r="D6" i="4"/>
  <c r="B52" i="3"/>
  <c r="B56" i="3" s="1"/>
  <c r="C41" i="4" l="1"/>
  <c r="C42" i="4" s="1"/>
  <c r="D126" i="4"/>
  <c r="F15" i="4"/>
  <c r="F19" i="4" s="1"/>
  <c r="B20" i="4"/>
  <c r="D20" i="4" s="1"/>
  <c r="D19" i="4"/>
  <c r="F40" i="4"/>
  <c r="F20" i="4"/>
  <c r="F87" i="4"/>
  <c r="F112" i="4"/>
  <c r="B41" i="3"/>
  <c r="B37" i="3"/>
  <c r="B39" i="3"/>
  <c r="D8" i="4"/>
  <c r="B41" i="4"/>
  <c r="D109" i="4"/>
  <c r="D103" i="4"/>
  <c r="B88" i="4"/>
  <c r="D88" i="4" s="1"/>
  <c r="D59" i="4"/>
  <c r="D52" i="4"/>
  <c r="B127" i="4"/>
  <c r="D2" i="5"/>
  <c r="F29" i="4"/>
  <c r="B81" i="3"/>
  <c r="B58" i="3"/>
  <c r="D94" i="4"/>
  <c r="C116" i="4"/>
  <c r="C127" i="4" s="1"/>
  <c r="D41" i="4" l="1"/>
  <c r="B42" i="4"/>
  <c r="F41" i="4"/>
  <c r="B83" i="3"/>
  <c r="F121" i="4"/>
  <c r="B85" i="3"/>
  <c r="B87" i="3"/>
  <c r="C42" i="2"/>
  <c r="D42" i="2" s="1"/>
  <c r="F116" i="4"/>
  <c r="D21" i="5"/>
  <c r="D116" i="4"/>
  <c r="F88" i="4"/>
  <c r="D14" i="5"/>
  <c r="D127" i="4"/>
  <c r="B43" i="3"/>
  <c r="F120" i="4"/>
  <c r="B62" i="3"/>
  <c r="B60" i="3"/>
  <c r="B66" i="3" s="1"/>
  <c r="B64" i="3"/>
  <c r="C128" i="4"/>
  <c r="C129" i="4" s="1"/>
  <c r="D27" i="5" l="1"/>
  <c r="D42" i="4"/>
  <c r="B128" i="4"/>
  <c r="D24" i="5"/>
  <c r="F126" i="4"/>
  <c r="F127" i="4" s="1"/>
  <c r="C43" i="2"/>
  <c r="D43" i="2" s="1"/>
  <c r="D48" i="2" s="1"/>
  <c r="D51" i="2" s="1"/>
  <c r="D25" i="5"/>
  <c r="C45" i="2"/>
  <c r="D45" i="2" s="1"/>
  <c r="B89" i="3"/>
  <c r="F42" i="4"/>
  <c r="D4" i="5"/>
  <c r="D6" i="5" s="1"/>
  <c r="D29" i="5" l="1"/>
  <c r="D128" i="4"/>
  <c r="B129" i="4"/>
  <c r="D129" i="4" s="1"/>
  <c r="F128" i="4"/>
  <c r="F129" i="4" s="1"/>
</calcChain>
</file>

<file path=xl/sharedStrings.xml><?xml version="1.0" encoding="utf-8"?>
<sst xmlns="http://schemas.openxmlformats.org/spreadsheetml/2006/main" count="254" uniqueCount="211">
  <si>
    <t>Budget</t>
  </si>
  <si>
    <t>Income</t>
  </si>
  <si>
    <t xml:space="preserve">   Back to School Cocktail Party</t>
  </si>
  <si>
    <t xml:space="preserve">      Raffle Ticket Sales</t>
  </si>
  <si>
    <t xml:space="preserve">   Total Back to School Cocktail Party</t>
  </si>
  <si>
    <t xml:space="preserve">   Dinner Nights</t>
  </si>
  <si>
    <t xml:space="preserve">   Direct Public Support</t>
  </si>
  <si>
    <t xml:space="preserve">      Corporate Contributions</t>
  </si>
  <si>
    <t xml:space="preserve">      Direct Ask</t>
  </si>
  <si>
    <t xml:space="preserve">         Direct Ask - Mailing</t>
  </si>
  <si>
    <t xml:space="preserve">         Direct Ask - Online Donations</t>
  </si>
  <si>
    <t xml:space="preserve">         Direct Ask - Text to Give</t>
  </si>
  <si>
    <t xml:space="preserve">      Total Direct Ask</t>
  </si>
  <si>
    <t xml:space="preserve">   Total Direct Public Support</t>
  </si>
  <si>
    <t xml:space="preserve">   Golf Tournament</t>
  </si>
  <si>
    <t xml:space="preserve">      Activity Tickets</t>
  </si>
  <si>
    <t xml:space="preserve">      Auction</t>
  </si>
  <si>
    <t xml:space="preserve">      Dinner tickets</t>
  </si>
  <si>
    <t xml:space="preserve">      Drink tickets</t>
  </si>
  <si>
    <t xml:space="preserve">      Entry fees</t>
  </si>
  <si>
    <t xml:space="preserve">      Raffle tickets</t>
  </si>
  <si>
    <t xml:space="preserve">      Sponsorships</t>
  </si>
  <si>
    <t xml:space="preserve">   Total Golf Tournament</t>
  </si>
  <si>
    <t xml:space="preserve">   Other Income - Video Sponsor</t>
  </si>
  <si>
    <t xml:space="preserve">   School Supply Kits</t>
  </si>
  <si>
    <t xml:space="preserve">   Spring Fundraiser</t>
  </si>
  <si>
    <t xml:space="preserve">      Drink Tickets</t>
  </si>
  <si>
    <t xml:space="preserve">      Entry Fee</t>
  </si>
  <si>
    <t xml:space="preserve">      Income from Prior Year Event</t>
  </si>
  <si>
    <t xml:space="preserve">      Premium Experience</t>
  </si>
  <si>
    <t xml:space="preserve">      Raffle</t>
  </si>
  <si>
    <t xml:space="preserve">      Silent and Live Auction</t>
  </si>
  <si>
    <t xml:space="preserve">   Total Spring Fundraiser</t>
  </si>
  <si>
    <t>Total Income</t>
  </si>
  <si>
    <t>Gross Profit</t>
  </si>
  <si>
    <t>Expenses</t>
  </si>
  <si>
    <t xml:space="preserve">   Administrative</t>
  </si>
  <si>
    <t xml:space="preserve">      Accounting Software</t>
  </si>
  <si>
    <t xml:space="preserve">      Business Registration Fees</t>
  </si>
  <si>
    <t xml:space="preserve">      Hospitality</t>
  </si>
  <si>
    <t xml:space="preserve">      Insurance</t>
  </si>
  <si>
    <t xml:space="preserve">      Supplies</t>
  </si>
  <si>
    <t xml:space="preserve">      Tax Preparation/Audit Review</t>
  </si>
  <si>
    <t xml:space="preserve">      Website and IT</t>
  </si>
  <si>
    <t xml:space="preserve">   Total Administrative</t>
  </si>
  <si>
    <t xml:space="preserve">   Back-to-School Cocktail Party</t>
  </si>
  <si>
    <t xml:space="preserve">   Fundraising Expense</t>
  </si>
  <si>
    <t xml:space="preserve">      Direct Ask/Grizzly Growth Fund</t>
  </si>
  <si>
    <t xml:space="preserve">         Advertising/Promotional</t>
  </si>
  <si>
    <t xml:space="preserve">         Shopping cart/ CC Fees</t>
  </si>
  <si>
    <t xml:space="preserve">      Total Direct Ask/Grizzly Growth Fund</t>
  </si>
  <si>
    <t xml:space="preserve">      Golf Tournament</t>
  </si>
  <si>
    <t xml:space="preserve">         Advertising-banners and flyers</t>
  </si>
  <si>
    <t xml:space="preserve">         Auction</t>
  </si>
  <si>
    <t xml:space="preserve">         Club charges</t>
  </si>
  <si>
    <t xml:space="preserve">         Entertainment</t>
  </si>
  <si>
    <t xml:space="preserve">         Fairway signs</t>
  </si>
  <si>
    <t xml:space="preserve">         Food</t>
  </si>
  <si>
    <t xml:space="preserve">         Golf Prizes</t>
  </si>
  <si>
    <t xml:space="preserve">         Golfer Gift Bags</t>
  </si>
  <si>
    <t xml:space="preserve">         Insurance</t>
  </si>
  <si>
    <t xml:space="preserve">         Miscellaneous Expenses</t>
  </si>
  <si>
    <t xml:space="preserve">         Shopping cart/credit card fees</t>
  </si>
  <si>
    <t xml:space="preserve">         Trophy's</t>
  </si>
  <si>
    <t xml:space="preserve">      Total Golf Tournament</t>
  </si>
  <si>
    <t xml:space="preserve">      School Supply Kits</t>
  </si>
  <si>
    <t xml:space="preserve">      Spring Fundraiser</t>
  </si>
  <si>
    <t xml:space="preserve">         Credit Card Processing Fees</t>
  </si>
  <si>
    <t xml:space="preserve">         Drinks</t>
  </si>
  <si>
    <t xml:space="preserve">         Expense from Prior Year Events</t>
  </si>
  <si>
    <t xml:space="preserve">         Facility costs</t>
  </si>
  <si>
    <t xml:space="preserve">         Live Auction</t>
  </si>
  <si>
    <t xml:space="preserve">         Marketing</t>
  </si>
  <si>
    <t xml:space="preserve">         Silent Auction</t>
  </si>
  <si>
    <t xml:space="preserve">      Total Spring Fundraiser</t>
  </si>
  <si>
    <t xml:space="preserve">   Total Fundraising Expense</t>
  </si>
  <si>
    <t xml:space="preserve">   Instructional Programs</t>
  </si>
  <si>
    <t xml:space="preserve">      IXL - Software Program</t>
  </si>
  <si>
    <t xml:space="preserve">   Total Instructional Programs</t>
  </si>
  <si>
    <t xml:space="preserve">   Literacy Enrichment</t>
  </si>
  <si>
    <t xml:space="preserve">      BrainPop</t>
  </si>
  <si>
    <t xml:space="preserve">      Levelled readers</t>
  </si>
  <si>
    <t xml:space="preserve">      Library Development</t>
  </si>
  <si>
    <t xml:space="preserve">      Razz Kids</t>
  </si>
  <si>
    <t xml:space="preserve">   Total Literacy Enrichment</t>
  </si>
  <si>
    <t xml:space="preserve">   Other Types of Expenses</t>
  </si>
  <si>
    <t xml:space="preserve">      Back to school breakfast</t>
  </si>
  <si>
    <t xml:space="preserve">      Marquee</t>
  </si>
  <si>
    <t xml:space="preserve">      Other Expense - Fund the Gap Video</t>
  </si>
  <si>
    <t xml:space="preserve">   Total Other Types of Expenses</t>
  </si>
  <si>
    <t xml:space="preserve">   School Materials/Supplies</t>
  </si>
  <si>
    <t xml:space="preserve">      Classroom Expense Reimbursement</t>
  </si>
  <si>
    <t xml:space="preserve">      New Technology</t>
  </si>
  <si>
    <t xml:space="preserve">      Physical Education Equipment Replenishment</t>
  </si>
  <si>
    <t xml:space="preserve">      Printer Toner/Learning Malls</t>
  </si>
  <si>
    <t xml:space="preserve">   Total School Materials/Supplies</t>
  </si>
  <si>
    <t xml:space="preserve">   Science, Tech, Eng and Math</t>
  </si>
  <si>
    <t xml:space="preserve">      Computer resource assistant</t>
  </si>
  <si>
    <t xml:space="preserve">      Excelling math impact teacher</t>
  </si>
  <si>
    <t xml:space="preserve">      Program Support</t>
  </si>
  <si>
    <t xml:space="preserve">      Science Instructor</t>
  </si>
  <si>
    <t xml:space="preserve">      Supplemental Salaries</t>
  </si>
  <si>
    <t xml:space="preserve">   Total Science, Tech, Eng and Math</t>
  </si>
  <si>
    <t xml:space="preserve">   Specialized Instruction</t>
  </si>
  <si>
    <t xml:space="preserve">      Bonus - Salaires Employees</t>
  </si>
  <si>
    <t xml:space="preserve">      Counselor</t>
  </si>
  <si>
    <t xml:space="preserve">      Grade level impact teachers</t>
  </si>
  <si>
    <t xml:space="preserve">      Kindergarten instructional aide</t>
  </si>
  <si>
    <t xml:space="preserve">      Music Teacher</t>
  </si>
  <si>
    <t xml:space="preserve">      PE Instructor</t>
  </si>
  <si>
    <t xml:space="preserve">      Teacher Continuing Education</t>
  </si>
  <si>
    <t xml:space="preserve">   Total Specialized Instruction</t>
  </si>
  <si>
    <t>Total Expenses</t>
  </si>
  <si>
    <t>Net Operating Income</t>
  </si>
  <si>
    <t>Net Income</t>
  </si>
  <si>
    <t>Willow Grove Educational Foundation</t>
  </si>
  <si>
    <t>Remaining Income:</t>
  </si>
  <si>
    <t>Qualcomm Check</t>
  </si>
  <si>
    <t>Total Estimated Cash</t>
  </si>
  <si>
    <t>Expenses:</t>
  </si>
  <si>
    <t>Spring Fundraiser</t>
  </si>
  <si>
    <t>Salaries</t>
  </si>
  <si>
    <t>Accounting Software</t>
  </si>
  <si>
    <t>remaining budget</t>
  </si>
  <si>
    <t>Hospitality</t>
  </si>
  <si>
    <t>Postage/Printing/Copying/Supplies</t>
  </si>
  <si>
    <t>estimated no additional costs</t>
  </si>
  <si>
    <t>Website and IT</t>
  </si>
  <si>
    <t>Insurance</t>
  </si>
  <si>
    <t>Levelled Readers</t>
  </si>
  <si>
    <t>PE Replenishment</t>
  </si>
  <si>
    <t>Library Development</t>
  </si>
  <si>
    <t>Classroom Expense Reimbursment</t>
  </si>
  <si>
    <t>Remaining from budget</t>
  </si>
  <si>
    <t>Printer Toner/Learning Malls</t>
  </si>
  <si>
    <t>Program Support (Science and other programs)</t>
  </si>
  <si>
    <t>Teacher Continuting Education</t>
  </si>
  <si>
    <t>Payout to PTA for 5th grade (Amazon and Promtion Seats)</t>
  </si>
  <si>
    <t>estimated no payout to 5th grade this year</t>
  </si>
  <si>
    <t>Payout to PTA for Parking Spot</t>
  </si>
  <si>
    <t>Total Estimated Remaining Expenses</t>
  </si>
  <si>
    <t>Estimated Cash Position at end of Year</t>
  </si>
  <si>
    <t>Cash Reserves:</t>
  </si>
  <si>
    <t>Total Available Cash</t>
  </si>
  <si>
    <t>Cash Needed at beginning of year</t>
  </si>
  <si>
    <t>Art Program</t>
  </si>
  <si>
    <t>Science Instructor</t>
  </si>
  <si>
    <t>Music</t>
  </si>
  <si>
    <t>1/2 Salaries</t>
  </si>
  <si>
    <t>Total Yearly Salary</t>
  </si>
  <si>
    <t>Math Enrichment</t>
  </si>
  <si>
    <t>Impact Teahers</t>
  </si>
  <si>
    <t>PE Teacher</t>
  </si>
  <si>
    <t>Impact for Kinder Aide</t>
  </si>
  <si>
    <t>Total Cash Needed at Beginning of Year to pay Salaries</t>
  </si>
  <si>
    <t>Cash Remaining</t>
  </si>
  <si>
    <t>Impact Teachers 2019-2020</t>
  </si>
  <si>
    <t>5 impact teachers</t>
  </si>
  <si>
    <t>4 days a week</t>
  </si>
  <si>
    <t>19 hours a week</t>
  </si>
  <si>
    <t>11/4/19 - 5/21/20</t>
  </si>
  <si>
    <t>(24 weeks)</t>
  </si>
  <si>
    <t>Hourly Rate</t>
  </si>
  <si>
    <t>17 hours a week</t>
  </si>
  <si>
    <t>10/1/19 -4/9/20</t>
  </si>
  <si>
    <t>4 days a week at 15 hours per week</t>
  </si>
  <si>
    <t>Number of Weeks</t>
  </si>
  <si>
    <t>Hours per week</t>
  </si>
  <si>
    <t>Benefits</t>
  </si>
  <si>
    <t>21 percent</t>
  </si>
  <si>
    <t>Total Benefit Cost</t>
  </si>
  <si>
    <t>Total Cost per impact Teacher</t>
  </si>
  <si>
    <t>Kinder Aide</t>
  </si>
  <si>
    <t>4 days a week at 10 hours per week</t>
  </si>
  <si>
    <t>4 days a week at 17 hours per week</t>
  </si>
  <si>
    <t>Budget for 2020-2021</t>
  </si>
  <si>
    <t>Administrative Expenses</t>
  </si>
  <si>
    <t>Back to School Cocktail Party</t>
  </si>
  <si>
    <t>Direct Ask Expenses</t>
  </si>
  <si>
    <t>Golf Expenses</t>
  </si>
  <si>
    <t>Spring Event Expenses</t>
  </si>
  <si>
    <t>IXL</t>
  </si>
  <si>
    <t>Literacy Development (RAZZ Kids, Brain Pop, Leveled Readers)</t>
  </si>
  <si>
    <t>School Materials/Supplies</t>
  </si>
  <si>
    <t>Science Instructor (includes program support)</t>
  </si>
  <si>
    <t>15 hours per week</t>
  </si>
  <si>
    <t>Impact Teachers</t>
  </si>
  <si>
    <t>5 teachers at 15 hours per week</t>
  </si>
  <si>
    <t>Remaining Cash</t>
  </si>
  <si>
    <t>Other Expenses (Back to School Breakfast and School Supply Kits)</t>
  </si>
  <si>
    <t>2/3 salary (1/3 carryover from 19-20 school year) + $1,000 for supplies less dissections</t>
  </si>
  <si>
    <t>making this zero because we have approx. $15K in credit that would cover any remaining overages</t>
  </si>
  <si>
    <t>all paid out</t>
  </si>
  <si>
    <t>Amazon</t>
  </si>
  <si>
    <t>can re-evalute part way through the year</t>
  </si>
  <si>
    <t>Full salary + supplemental for increases</t>
  </si>
  <si>
    <t>Oct-Feb; can re-asses</t>
  </si>
  <si>
    <t>estimated no additional spending</t>
  </si>
  <si>
    <t>no payout to 5th grade</t>
  </si>
  <si>
    <t>1 impact teacher at 17 hours per week</t>
  </si>
  <si>
    <t>$200 per teacher</t>
  </si>
  <si>
    <t>Kinder Impact Teacher</t>
  </si>
  <si>
    <t>only includes RAZZ Kids, Brain Pop is already paid for and teachers are not taking leveled readers</t>
  </si>
  <si>
    <t>Fiscal Year 2020-2021 Budget</t>
  </si>
  <si>
    <t>Actual as of 5.31.20</t>
  </si>
  <si>
    <t>over (under) Budget</t>
  </si>
  <si>
    <t>PTA Stipend (to fund Art Program)</t>
  </si>
  <si>
    <t>Bank Balance in Quickbooks at 5.31.20</t>
  </si>
  <si>
    <t>Estimated Cash in Bank at beginning of year (includes cash reserves)</t>
  </si>
  <si>
    <t>Income at 50% (see 2020-2021 Budget)</t>
  </si>
  <si>
    <t>end of year gifts and food for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</si>
</sst>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_€"/>
    <numFmt numFmtId="165" formatCode="&quot;$&quot;* #,##0\ _€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42" fontId="0" fillId="0" borderId="0" xfId="0" applyNumberFormat="1"/>
    <xf numFmtId="42" fontId="0" fillId="0" borderId="0" xfId="0" applyNumberFormat="1" applyFill="1"/>
    <xf numFmtId="0" fontId="2" fillId="0" borderId="0" xfId="0" applyFont="1"/>
    <xf numFmtId="4" fontId="2" fillId="0" borderId="0" xfId="0" applyNumberFormat="1" applyFont="1"/>
    <xf numFmtId="0" fontId="3" fillId="3" borderId="0" xfId="0" applyFont="1" applyFill="1"/>
    <xf numFmtId="43" fontId="2" fillId="0" borderId="0" xfId="1" applyFont="1"/>
    <xf numFmtId="43" fontId="2" fillId="0" borderId="0" xfId="0" applyNumberFormat="1" applyFont="1"/>
    <xf numFmtId="0" fontId="2" fillId="2" borderId="0" xfId="0" applyFont="1" applyFill="1"/>
    <xf numFmtId="0" fontId="6" fillId="0" borderId="0" xfId="0" applyFont="1"/>
    <xf numFmtId="42" fontId="6" fillId="0" borderId="0" xfId="0" applyNumberFormat="1" applyFont="1"/>
    <xf numFmtId="0" fontId="6" fillId="0" borderId="0" xfId="0" applyFont="1" applyAlignment="1">
      <alignment wrapText="1"/>
    </xf>
    <xf numFmtId="42" fontId="6" fillId="0" borderId="0" xfId="0" applyNumberFormat="1" applyFont="1" applyFill="1"/>
    <xf numFmtId="42" fontId="7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Fill="1"/>
    <xf numFmtId="42" fontId="7" fillId="0" borderId="0" xfId="0" applyNumberFormat="1" applyFont="1" applyFill="1"/>
    <xf numFmtId="42" fontId="6" fillId="0" borderId="0" xfId="0" applyNumberFormat="1" applyFont="1" applyBorder="1"/>
    <xf numFmtId="9" fontId="6" fillId="0" borderId="0" xfId="0" applyNumberFormat="1" applyFont="1"/>
    <xf numFmtId="44" fontId="6" fillId="0" borderId="0" xfId="0" applyNumberFormat="1" applyFont="1"/>
    <xf numFmtId="0" fontId="6" fillId="2" borderId="0" xfId="0" applyFont="1" applyFill="1"/>
    <xf numFmtId="42" fontId="6" fillId="2" borderId="0" xfId="0" applyNumberFormat="1" applyFont="1" applyFill="1"/>
    <xf numFmtId="0" fontId="0" fillId="2" borderId="0" xfId="0" applyFill="1"/>
    <xf numFmtId="42" fontId="0" fillId="2" borderId="0" xfId="0" applyNumberFormat="1" applyFill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165" fontId="9" fillId="0" borderId="3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lef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 horizontal="right" wrapText="1"/>
    </xf>
    <xf numFmtId="165" fontId="9" fillId="0" borderId="3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3"/>
  <sheetViews>
    <sheetView topLeftCell="A18" workbookViewId="0">
      <selection activeCell="E15" sqref="E15"/>
    </sheetView>
  </sheetViews>
  <sheetFormatPr baseColWidth="10" defaultRowHeight="19" x14ac:dyDescent="0.25"/>
  <cols>
    <col min="1" max="1" width="10.83203125" style="10"/>
    <col min="2" max="2" width="40.6640625" style="10" customWidth="1"/>
    <col min="3" max="3" width="15.83203125" style="10" customWidth="1"/>
    <col min="4" max="4" width="13.1640625" style="11" bestFit="1" customWidth="1"/>
    <col min="5" max="5" width="36.33203125" style="12" customWidth="1"/>
    <col min="6" max="16384" width="10.83203125" style="10"/>
  </cols>
  <sheetData>
    <row r="2" spans="1:5" x14ac:dyDescent="0.25">
      <c r="A2" s="10" t="s">
        <v>207</v>
      </c>
      <c r="D2" s="11">
        <v>122462</v>
      </c>
    </row>
    <row r="4" spans="1:5" ht="20" x14ac:dyDescent="0.25">
      <c r="A4" s="10" t="s">
        <v>116</v>
      </c>
      <c r="D4" s="13">
        <v>5000</v>
      </c>
      <c r="E4" s="12" t="s">
        <v>117</v>
      </c>
    </row>
    <row r="5" spans="1:5" ht="20" customHeight="1" x14ac:dyDescent="0.25"/>
    <row r="6" spans="1:5" x14ac:dyDescent="0.25">
      <c r="A6" s="10" t="s">
        <v>118</v>
      </c>
      <c r="D6" s="14">
        <f>SUM(D2:D5)</f>
        <v>127462</v>
      </c>
    </row>
    <row r="10" spans="1:5" x14ac:dyDescent="0.25">
      <c r="A10" s="10" t="s">
        <v>119</v>
      </c>
    </row>
    <row r="11" spans="1:5" x14ac:dyDescent="0.25">
      <c r="B11" s="10" t="s">
        <v>120</v>
      </c>
      <c r="D11" s="13">
        <v>0</v>
      </c>
    </row>
    <row r="12" spans="1:5" ht="60" x14ac:dyDescent="0.25">
      <c r="B12" s="10" t="s">
        <v>121</v>
      </c>
      <c r="D12" s="13">
        <v>0</v>
      </c>
      <c r="E12" s="12" t="s">
        <v>191</v>
      </c>
    </row>
    <row r="13" spans="1:5" ht="20" x14ac:dyDescent="0.25">
      <c r="B13" s="10" t="s">
        <v>122</v>
      </c>
      <c r="D13" s="13">
        <v>70</v>
      </c>
      <c r="E13" s="12" t="s">
        <v>123</v>
      </c>
    </row>
    <row r="14" spans="1:5" ht="40" x14ac:dyDescent="0.25">
      <c r="B14" s="10" t="s">
        <v>124</v>
      </c>
      <c r="D14" s="13">
        <v>500</v>
      </c>
      <c r="E14" s="12" t="s">
        <v>210</v>
      </c>
    </row>
    <row r="15" spans="1:5" ht="20" x14ac:dyDescent="0.25">
      <c r="B15" s="10" t="s">
        <v>125</v>
      </c>
      <c r="D15" s="13">
        <v>0</v>
      </c>
      <c r="E15" s="12" t="s">
        <v>126</v>
      </c>
    </row>
    <row r="16" spans="1:5" ht="20" x14ac:dyDescent="0.25">
      <c r="B16" s="10" t="s">
        <v>127</v>
      </c>
      <c r="D16" s="13">
        <v>0</v>
      </c>
      <c r="E16" s="12" t="s">
        <v>126</v>
      </c>
    </row>
    <row r="17" spans="1:5" ht="20" x14ac:dyDescent="0.25">
      <c r="B17" s="10" t="s">
        <v>128</v>
      </c>
      <c r="D17" s="13">
        <v>0</v>
      </c>
      <c r="E17" s="12" t="s">
        <v>126</v>
      </c>
    </row>
    <row r="18" spans="1:5" ht="20" x14ac:dyDescent="0.25">
      <c r="B18" s="10" t="s">
        <v>129</v>
      </c>
      <c r="D18" s="13">
        <v>0</v>
      </c>
      <c r="E18" s="12" t="s">
        <v>192</v>
      </c>
    </row>
    <row r="19" spans="1:5" ht="20" x14ac:dyDescent="0.25">
      <c r="B19" s="10" t="s">
        <v>130</v>
      </c>
      <c r="D19" s="13">
        <v>0</v>
      </c>
      <c r="E19" s="12" t="s">
        <v>192</v>
      </c>
    </row>
    <row r="20" spans="1:5" ht="20" x14ac:dyDescent="0.25">
      <c r="B20" s="10" t="s">
        <v>131</v>
      </c>
      <c r="D20" s="13">
        <v>0</v>
      </c>
      <c r="E20" s="12" t="s">
        <v>192</v>
      </c>
    </row>
    <row r="21" spans="1:5" ht="20" x14ac:dyDescent="0.25">
      <c r="B21" s="10" t="s">
        <v>132</v>
      </c>
      <c r="D21" s="13">
        <v>1400</v>
      </c>
      <c r="E21" s="12" t="s">
        <v>133</v>
      </c>
    </row>
    <row r="22" spans="1:5" ht="20" x14ac:dyDescent="0.25">
      <c r="B22" s="10" t="s">
        <v>134</v>
      </c>
      <c r="D22" s="13">
        <v>0</v>
      </c>
      <c r="E22" s="12" t="s">
        <v>197</v>
      </c>
    </row>
    <row r="23" spans="1:5" ht="20" x14ac:dyDescent="0.25">
      <c r="B23" s="10" t="s">
        <v>135</v>
      </c>
      <c r="D23" s="13">
        <v>0</v>
      </c>
      <c r="E23" s="12" t="s">
        <v>192</v>
      </c>
    </row>
    <row r="24" spans="1:5" ht="20" x14ac:dyDescent="0.25">
      <c r="B24" s="10" t="s">
        <v>136</v>
      </c>
      <c r="D24" s="13">
        <v>0</v>
      </c>
      <c r="E24" s="12" t="s">
        <v>197</v>
      </c>
    </row>
    <row r="25" spans="1:5" ht="40" x14ac:dyDescent="0.25">
      <c r="B25" s="15" t="s">
        <v>137</v>
      </c>
      <c r="D25" s="13">
        <v>0</v>
      </c>
      <c r="E25" s="12" t="s">
        <v>138</v>
      </c>
    </row>
    <row r="26" spans="1:5" ht="20" x14ac:dyDescent="0.25">
      <c r="B26" s="10" t="s">
        <v>139</v>
      </c>
      <c r="D26" s="13">
        <v>0</v>
      </c>
      <c r="E26" s="12" t="s">
        <v>198</v>
      </c>
    </row>
    <row r="27" spans="1:5" x14ac:dyDescent="0.25">
      <c r="D27" s="13"/>
    </row>
    <row r="29" spans="1:5" x14ac:dyDescent="0.25">
      <c r="A29" s="16" t="s">
        <v>140</v>
      </c>
      <c r="B29" s="16"/>
      <c r="C29" s="16"/>
      <c r="D29" s="17">
        <f>SUM(D11:D26)</f>
        <v>1970</v>
      </c>
    </row>
    <row r="32" spans="1:5" x14ac:dyDescent="0.25">
      <c r="A32" s="10" t="s">
        <v>141</v>
      </c>
      <c r="D32" s="14">
        <f>D6-D29</f>
        <v>125492</v>
      </c>
      <c r="E32" s="10"/>
    </row>
    <row r="33" spans="1:5" x14ac:dyDescent="0.25">
      <c r="A33" s="10" t="s">
        <v>142</v>
      </c>
      <c r="D33" s="18">
        <v>39905</v>
      </c>
      <c r="E33" s="10"/>
    </row>
    <row r="34" spans="1:5" x14ac:dyDescent="0.25">
      <c r="A34" s="16" t="s">
        <v>143</v>
      </c>
      <c r="B34" s="16"/>
      <c r="C34" s="16"/>
      <c r="D34" s="17">
        <f>D32+D33</f>
        <v>165397</v>
      </c>
      <c r="E34" s="10"/>
    </row>
    <row r="36" spans="1:5" x14ac:dyDescent="0.25">
      <c r="A36" s="10" t="s">
        <v>144</v>
      </c>
      <c r="E36" s="10"/>
    </row>
    <row r="37" spans="1:5" x14ac:dyDescent="0.25">
      <c r="A37" s="10" t="s">
        <v>145</v>
      </c>
      <c r="D37" s="11">
        <f>'2020-2021 Budget'!F90</f>
        <v>13809</v>
      </c>
      <c r="E37" s="10"/>
    </row>
    <row r="38" spans="1:5" x14ac:dyDescent="0.25">
      <c r="A38" s="10" t="s">
        <v>146</v>
      </c>
      <c r="D38" s="11">
        <f>'2020-2021 Budget'!F114</f>
        <v>13611.333333333334</v>
      </c>
      <c r="E38" s="10"/>
    </row>
    <row r="39" spans="1:5" x14ac:dyDescent="0.25">
      <c r="A39" s="10" t="s">
        <v>147</v>
      </c>
      <c r="D39" s="11">
        <f>'2020-2021 Budget'!F122</f>
        <v>0</v>
      </c>
      <c r="E39" s="10"/>
    </row>
    <row r="41" spans="1:5" x14ac:dyDescent="0.25">
      <c r="A41" s="10" t="s">
        <v>148</v>
      </c>
      <c r="C41" s="10" t="s">
        <v>149</v>
      </c>
      <c r="E41" s="19"/>
    </row>
    <row r="42" spans="1:5" x14ac:dyDescent="0.25">
      <c r="A42" s="10" t="s">
        <v>150</v>
      </c>
      <c r="C42" s="11">
        <f>'2020-2021 Budget'!F112</f>
        <v>16988.400000000001</v>
      </c>
      <c r="D42" s="20">
        <f>C42/2</f>
        <v>8494.2000000000007</v>
      </c>
      <c r="E42" s="20"/>
    </row>
    <row r="43" spans="1:5" x14ac:dyDescent="0.25">
      <c r="A43" s="10" t="s">
        <v>151</v>
      </c>
      <c r="C43" s="11">
        <f>'2020-2021 Budget'!F120</f>
        <v>84942</v>
      </c>
      <c r="D43" s="20">
        <f>C43/2</f>
        <v>42471</v>
      </c>
      <c r="E43" s="20"/>
    </row>
    <row r="44" spans="1:5" x14ac:dyDescent="0.25">
      <c r="A44" s="10" t="s">
        <v>152</v>
      </c>
      <c r="C44" s="11">
        <f>'2020-2021 Budget'!F123</f>
        <v>15240</v>
      </c>
      <c r="D44" s="11">
        <f>C44/2</f>
        <v>7620</v>
      </c>
      <c r="E44" s="10"/>
    </row>
    <row r="45" spans="1:5" x14ac:dyDescent="0.25">
      <c r="A45" s="10" t="s">
        <v>153</v>
      </c>
      <c r="C45" s="11">
        <f>'2020-2021 Budget'!F121</f>
        <v>19253.52</v>
      </c>
      <c r="D45" s="20">
        <f>C45/2</f>
        <v>9626.76</v>
      </c>
      <c r="E45" s="20"/>
    </row>
    <row r="48" spans="1:5" x14ac:dyDescent="0.25">
      <c r="A48" s="10" t="s">
        <v>154</v>
      </c>
      <c r="D48" s="11">
        <f>SUM(D37:D45)</f>
        <v>95632.293333333335</v>
      </c>
      <c r="E48" s="10"/>
    </row>
    <row r="51" spans="1:5" x14ac:dyDescent="0.25">
      <c r="A51" s="21" t="s">
        <v>155</v>
      </c>
      <c r="B51" s="21"/>
      <c r="C51" s="21"/>
      <c r="D51" s="22">
        <f>D34-D48</f>
        <v>69764.706666666665</v>
      </c>
      <c r="E51" s="10"/>
    </row>
    <row r="53" spans="1:5" x14ac:dyDescent="0.25">
      <c r="E53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9"/>
  <sheetViews>
    <sheetView topLeftCell="A24" workbookViewId="0">
      <selection activeCell="B37" sqref="B37"/>
    </sheetView>
  </sheetViews>
  <sheetFormatPr baseColWidth="10" defaultRowHeight="19" x14ac:dyDescent="0.25"/>
  <cols>
    <col min="1" max="1" width="28" style="4" customWidth="1"/>
    <col min="2" max="2" width="15.6640625" style="4" customWidth="1"/>
    <col min="3" max="16384" width="10.83203125" style="4"/>
  </cols>
  <sheetData>
    <row r="1" spans="1:2" x14ac:dyDescent="0.25">
      <c r="A1" s="4" t="s">
        <v>156</v>
      </c>
      <c r="B1" s="4" t="s">
        <v>157</v>
      </c>
    </row>
    <row r="3" spans="1:2" x14ac:dyDescent="0.25">
      <c r="A3" s="4" t="s">
        <v>158</v>
      </c>
      <c r="B3" s="4" t="s">
        <v>159</v>
      </c>
    </row>
    <row r="4" spans="1:2" x14ac:dyDescent="0.25">
      <c r="A4" s="4" t="s">
        <v>160</v>
      </c>
      <c r="B4" s="4" t="s">
        <v>161</v>
      </c>
    </row>
    <row r="6" spans="1:2" x14ac:dyDescent="0.25">
      <c r="A6" s="4" t="s">
        <v>162</v>
      </c>
      <c r="B6" s="4">
        <v>36.64</v>
      </c>
    </row>
    <row r="9" spans="1:2" x14ac:dyDescent="0.25">
      <c r="A9" s="4" t="s">
        <v>150</v>
      </c>
    </row>
    <row r="11" spans="1:2" x14ac:dyDescent="0.25">
      <c r="A11" s="4" t="s">
        <v>158</v>
      </c>
      <c r="B11" s="4" t="s">
        <v>163</v>
      </c>
    </row>
    <row r="12" spans="1:2" x14ac:dyDescent="0.25">
      <c r="A12" s="4" t="s">
        <v>164</v>
      </c>
    </row>
    <row r="14" spans="1:2" x14ac:dyDescent="0.25">
      <c r="A14" s="4" t="s">
        <v>162</v>
      </c>
      <c r="B14" s="4">
        <v>36.64</v>
      </c>
    </row>
    <row r="20" spans="1:3" x14ac:dyDescent="0.25">
      <c r="A20" s="5">
        <v>59560.5</v>
      </c>
    </row>
    <row r="24" spans="1:3" x14ac:dyDescent="0.25">
      <c r="A24" s="9" t="s">
        <v>165</v>
      </c>
      <c r="B24" s="9"/>
    </row>
    <row r="26" spans="1:3" x14ac:dyDescent="0.25">
      <c r="A26" s="4" t="s">
        <v>162</v>
      </c>
      <c r="B26" s="4">
        <v>39</v>
      </c>
    </row>
    <row r="27" spans="1:3" x14ac:dyDescent="0.25">
      <c r="A27" s="4" t="s">
        <v>166</v>
      </c>
      <c r="B27" s="4">
        <v>24</v>
      </c>
    </row>
    <row r="28" spans="1:3" x14ac:dyDescent="0.25">
      <c r="A28" s="4" t="s">
        <v>167</v>
      </c>
      <c r="B28" s="6">
        <v>15</v>
      </c>
    </row>
    <row r="29" spans="1:3" x14ac:dyDescent="0.25">
      <c r="B29" s="7">
        <f>B26*B27*B28</f>
        <v>14040</v>
      </c>
    </row>
    <row r="31" spans="1:3" x14ac:dyDescent="0.25">
      <c r="A31" s="4" t="s">
        <v>168</v>
      </c>
      <c r="B31" s="4">
        <v>0.21</v>
      </c>
      <c r="C31" s="4" t="s">
        <v>169</v>
      </c>
    </row>
    <row r="33" spans="1:2" x14ac:dyDescent="0.25">
      <c r="A33" s="4" t="s">
        <v>170</v>
      </c>
      <c r="B33" s="7">
        <f>B29*B31</f>
        <v>2948.4</v>
      </c>
    </row>
    <row r="35" spans="1:2" x14ac:dyDescent="0.25">
      <c r="A35" s="4" t="s">
        <v>171</v>
      </c>
      <c r="B35" s="7">
        <f>B29+B33</f>
        <v>16988.400000000001</v>
      </c>
    </row>
    <row r="37" spans="1:2" x14ac:dyDescent="0.25">
      <c r="A37" s="4" t="s">
        <v>157</v>
      </c>
      <c r="B37" s="8">
        <f>B35*5</f>
        <v>84942</v>
      </c>
    </row>
    <row r="39" spans="1:2" x14ac:dyDescent="0.25">
      <c r="A39" s="4" t="s">
        <v>150</v>
      </c>
      <c r="B39" s="8">
        <f>B35</f>
        <v>16988.400000000001</v>
      </c>
    </row>
    <row r="41" spans="1:2" x14ac:dyDescent="0.25">
      <c r="A41" s="4" t="s">
        <v>172</v>
      </c>
      <c r="B41" s="8">
        <f>B35</f>
        <v>16988.400000000001</v>
      </c>
    </row>
    <row r="43" spans="1:2" x14ac:dyDescent="0.25">
      <c r="B43" s="8">
        <f>B37+B39+B41</f>
        <v>118918.79999999999</v>
      </c>
    </row>
    <row r="47" spans="1:2" x14ac:dyDescent="0.25">
      <c r="A47" s="9" t="s">
        <v>173</v>
      </c>
      <c r="B47" s="9"/>
    </row>
    <row r="49" spans="1:3" x14ac:dyDescent="0.25">
      <c r="A49" s="4" t="s">
        <v>162</v>
      </c>
      <c r="B49" s="4">
        <v>39</v>
      </c>
    </row>
    <row r="50" spans="1:3" x14ac:dyDescent="0.25">
      <c r="A50" s="4" t="s">
        <v>166</v>
      </c>
      <c r="B50" s="4">
        <v>24</v>
      </c>
    </row>
    <row r="51" spans="1:3" x14ac:dyDescent="0.25">
      <c r="A51" s="4" t="s">
        <v>167</v>
      </c>
      <c r="B51" s="6">
        <v>10</v>
      </c>
    </row>
    <row r="52" spans="1:3" x14ac:dyDescent="0.25">
      <c r="B52" s="7">
        <f>B49*B50*B51</f>
        <v>9360</v>
      </c>
    </row>
    <row r="54" spans="1:3" x14ac:dyDescent="0.25">
      <c r="A54" s="4" t="s">
        <v>168</v>
      </c>
      <c r="B54" s="4">
        <v>0.21</v>
      </c>
      <c r="C54" s="4" t="s">
        <v>169</v>
      </c>
    </row>
    <row r="56" spans="1:3" x14ac:dyDescent="0.25">
      <c r="A56" s="4" t="s">
        <v>170</v>
      </c>
      <c r="B56" s="7">
        <f>B52*B54</f>
        <v>1965.6</v>
      </c>
    </row>
    <row r="58" spans="1:3" x14ac:dyDescent="0.25">
      <c r="A58" s="4" t="s">
        <v>171</v>
      </c>
      <c r="B58" s="7">
        <f>B52+B56</f>
        <v>11325.6</v>
      </c>
    </row>
    <row r="60" spans="1:3" x14ac:dyDescent="0.25">
      <c r="A60" s="4" t="s">
        <v>157</v>
      </c>
      <c r="B60" s="8">
        <f>B58*5</f>
        <v>56628</v>
      </c>
    </row>
    <row r="62" spans="1:3" x14ac:dyDescent="0.25">
      <c r="A62" s="4" t="s">
        <v>150</v>
      </c>
      <c r="B62" s="8">
        <f>B58</f>
        <v>11325.6</v>
      </c>
    </row>
    <row r="64" spans="1:3" x14ac:dyDescent="0.25">
      <c r="A64" s="4" t="s">
        <v>172</v>
      </c>
      <c r="B64" s="8">
        <f>B58</f>
        <v>11325.6</v>
      </c>
    </row>
    <row r="66" spans="1:2" x14ac:dyDescent="0.25">
      <c r="B66" s="8">
        <f>B60+B62+B64</f>
        <v>79279.200000000012</v>
      </c>
    </row>
    <row r="70" spans="1:2" x14ac:dyDescent="0.25">
      <c r="A70" s="4" t="s">
        <v>174</v>
      </c>
    </row>
    <row r="72" spans="1:2" x14ac:dyDescent="0.25">
      <c r="A72" s="4" t="s">
        <v>162</v>
      </c>
      <c r="B72" s="4">
        <v>39</v>
      </c>
    </row>
    <row r="73" spans="1:2" x14ac:dyDescent="0.25">
      <c r="A73" s="4" t="s">
        <v>166</v>
      </c>
      <c r="B73" s="4">
        <v>24</v>
      </c>
    </row>
    <row r="74" spans="1:2" x14ac:dyDescent="0.25">
      <c r="A74" s="4" t="s">
        <v>167</v>
      </c>
      <c r="B74" s="6">
        <v>17</v>
      </c>
    </row>
    <row r="75" spans="1:2" x14ac:dyDescent="0.25">
      <c r="B75" s="7">
        <f>B72*B73*B74</f>
        <v>15912</v>
      </c>
    </row>
    <row r="77" spans="1:2" x14ac:dyDescent="0.25">
      <c r="A77" s="4" t="s">
        <v>168</v>
      </c>
      <c r="B77" s="4">
        <v>0.21</v>
      </c>
    </row>
    <row r="79" spans="1:2" x14ac:dyDescent="0.25">
      <c r="A79" s="4" t="s">
        <v>170</v>
      </c>
      <c r="B79" s="7">
        <f>B75*B77</f>
        <v>3341.52</v>
      </c>
    </row>
    <row r="81" spans="1:2" x14ac:dyDescent="0.25">
      <c r="A81" s="4" t="s">
        <v>171</v>
      </c>
      <c r="B81" s="7">
        <f>B75+B79</f>
        <v>19253.52</v>
      </c>
    </row>
    <row r="83" spans="1:2" x14ac:dyDescent="0.25">
      <c r="A83" s="4" t="s">
        <v>157</v>
      </c>
      <c r="B83" s="8">
        <f>B81*5</f>
        <v>96267.6</v>
      </c>
    </row>
    <row r="85" spans="1:2" x14ac:dyDescent="0.25">
      <c r="A85" s="4" t="s">
        <v>150</v>
      </c>
      <c r="B85" s="8">
        <f>B81</f>
        <v>19253.52</v>
      </c>
    </row>
    <row r="87" spans="1:2" x14ac:dyDescent="0.25">
      <c r="A87" s="4" t="s">
        <v>172</v>
      </c>
      <c r="B87" s="8">
        <f>B81</f>
        <v>19253.52</v>
      </c>
    </row>
    <row r="89" spans="1:2" x14ac:dyDescent="0.25">
      <c r="B89" s="8">
        <f>B83+B85+B87</f>
        <v>134774.64000000001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0"/>
  <sheetViews>
    <sheetView tabSelected="1" workbookViewId="0">
      <selection activeCell="A4" sqref="A4"/>
    </sheetView>
  </sheetViews>
  <sheetFormatPr baseColWidth="10" defaultColWidth="8.83203125" defaultRowHeight="16" x14ac:dyDescent="0.2"/>
  <cols>
    <col min="1" max="1" width="37" style="25" customWidth="1"/>
    <col min="2" max="2" width="14.5" style="25" customWidth="1"/>
    <col min="3" max="3" width="11.1640625" style="25" customWidth="1"/>
    <col min="4" max="4" width="12.1640625" style="25" customWidth="1"/>
    <col min="5" max="5" width="3.83203125" style="25" customWidth="1"/>
    <col min="6" max="6" width="17.33203125" style="25" customWidth="1"/>
    <col min="7" max="16384" width="8.83203125" style="25"/>
  </cols>
  <sheetData>
    <row r="1" spans="1:6" x14ac:dyDescent="0.2">
      <c r="A1" s="40" t="s">
        <v>115</v>
      </c>
      <c r="B1" s="40"/>
      <c r="C1" s="40"/>
      <c r="D1" s="40"/>
      <c r="E1" s="40"/>
      <c r="F1" s="40"/>
    </row>
    <row r="2" spans="1:6" x14ac:dyDescent="0.2">
      <c r="A2" s="40" t="s">
        <v>203</v>
      </c>
      <c r="B2" s="40"/>
      <c r="C2" s="40"/>
      <c r="D2" s="40"/>
      <c r="E2" s="40"/>
      <c r="F2" s="40"/>
    </row>
    <row r="4" spans="1:6" ht="51" x14ac:dyDescent="0.2">
      <c r="A4" s="26"/>
      <c r="B4" s="27" t="s">
        <v>204</v>
      </c>
      <c r="C4" s="27" t="s">
        <v>0</v>
      </c>
      <c r="D4" s="27" t="s">
        <v>205</v>
      </c>
      <c r="F4" s="27" t="s">
        <v>175</v>
      </c>
    </row>
    <row r="5" spans="1:6" ht="17" x14ac:dyDescent="0.2">
      <c r="A5" s="28" t="s">
        <v>1</v>
      </c>
      <c r="B5" s="29"/>
      <c r="C5" s="29"/>
      <c r="D5" s="29"/>
      <c r="F5" s="29"/>
    </row>
    <row r="6" spans="1:6" ht="17" x14ac:dyDescent="0.2">
      <c r="A6" s="28" t="s">
        <v>2</v>
      </c>
      <c r="B6" s="29"/>
      <c r="C6" s="29"/>
      <c r="D6" s="30">
        <f t="shared" ref="D6:D42" si="0">(B6)-(C6)</f>
        <v>0</v>
      </c>
      <c r="F6" s="30"/>
    </row>
    <row r="7" spans="1:6" ht="17" x14ac:dyDescent="0.2">
      <c r="A7" s="28" t="s">
        <v>3</v>
      </c>
      <c r="B7" s="30">
        <f>5420</f>
        <v>5420</v>
      </c>
      <c r="C7" s="30">
        <f>4000</f>
        <v>4000</v>
      </c>
      <c r="D7" s="30">
        <f t="shared" si="0"/>
        <v>1420</v>
      </c>
      <c r="F7" s="30">
        <v>9625</v>
      </c>
    </row>
    <row r="8" spans="1:6" ht="17" x14ac:dyDescent="0.2">
      <c r="A8" s="28" t="s">
        <v>4</v>
      </c>
      <c r="B8" s="31">
        <f>(B6)+(B7)</f>
        <v>5420</v>
      </c>
      <c r="C8" s="31">
        <f>(C6)+(C7)</f>
        <v>4000</v>
      </c>
      <c r="D8" s="31">
        <f t="shared" si="0"/>
        <v>1420</v>
      </c>
      <c r="F8" s="32">
        <f>F7</f>
        <v>9625</v>
      </c>
    </row>
    <row r="9" spans="1:6" x14ac:dyDescent="0.2">
      <c r="A9" s="28"/>
      <c r="B9" s="33"/>
      <c r="C9" s="33"/>
      <c r="D9" s="33"/>
      <c r="F9" s="33"/>
    </row>
    <row r="10" spans="1:6" ht="17" x14ac:dyDescent="0.2">
      <c r="A10" s="28" t="s">
        <v>206</v>
      </c>
      <c r="B10" s="33"/>
      <c r="C10" s="33"/>
      <c r="D10" s="33"/>
      <c r="F10" s="33">
        <v>11000</v>
      </c>
    </row>
    <row r="11" spans="1:6" ht="17" x14ac:dyDescent="0.2">
      <c r="A11" s="28" t="s">
        <v>5</v>
      </c>
      <c r="B11" s="30">
        <v>289</v>
      </c>
      <c r="C11" s="30">
        <f>800</f>
        <v>800</v>
      </c>
      <c r="D11" s="30">
        <f t="shared" si="0"/>
        <v>-511</v>
      </c>
      <c r="F11" s="34">
        <v>300</v>
      </c>
    </row>
    <row r="12" spans="1:6" ht="17" x14ac:dyDescent="0.2">
      <c r="A12" s="28" t="s">
        <v>193</v>
      </c>
      <c r="B12" s="30"/>
      <c r="C12" s="30"/>
      <c r="D12" s="30"/>
      <c r="F12" s="34">
        <v>500</v>
      </c>
    </row>
    <row r="13" spans="1:6" ht="17" x14ac:dyDescent="0.2">
      <c r="A13" s="28" t="s">
        <v>6</v>
      </c>
      <c r="B13" s="29"/>
      <c r="C13" s="29"/>
      <c r="D13" s="30">
        <f t="shared" si="0"/>
        <v>0</v>
      </c>
      <c r="F13" s="30"/>
    </row>
    <row r="14" spans="1:6" ht="17" x14ac:dyDescent="0.2">
      <c r="A14" s="28" t="s">
        <v>7</v>
      </c>
      <c r="B14" s="30">
        <v>14771</v>
      </c>
      <c r="C14" s="30">
        <f>19000</f>
        <v>19000</v>
      </c>
      <c r="D14" s="30">
        <f t="shared" si="0"/>
        <v>-4229</v>
      </c>
      <c r="F14" s="30">
        <f>B14*0.5</f>
        <v>7385.5</v>
      </c>
    </row>
    <row r="15" spans="1:6" ht="17" x14ac:dyDescent="0.2">
      <c r="A15" s="28" t="s">
        <v>8</v>
      </c>
      <c r="B15" s="29"/>
      <c r="C15" s="30">
        <f>98000</f>
        <v>98000</v>
      </c>
      <c r="D15" s="30">
        <f t="shared" si="0"/>
        <v>-98000</v>
      </c>
      <c r="F15" s="30">
        <f>B19*0.5</f>
        <v>42641.709999999992</v>
      </c>
    </row>
    <row r="16" spans="1:6" ht="17" x14ac:dyDescent="0.2">
      <c r="A16" s="28" t="s">
        <v>9</v>
      </c>
      <c r="B16" s="30">
        <f>28962.54</f>
        <v>28962.54</v>
      </c>
      <c r="C16" s="30">
        <f>1</f>
        <v>1</v>
      </c>
      <c r="D16" s="30">
        <f t="shared" si="0"/>
        <v>28961.54</v>
      </c>
      <c r="F16" s="30"/>
    </row>
    <row r="17" spans="1:6" ht="17" x14ac:dyDescent="0.2">
      <c r="A17" s="28" t="s">
        <v>10</v>
      </c>
      <c r="B17" s="30">
        <f>48845.2</f>
        <v>48845.2</v>
      </c>
      <c r="C17" s="30">
        <f>1</f>
        <v>1</v>
      </c>
      <c r="D17" s="30">
        <f t="shared" si="0"/>
        <v>48844.2</v>
      </c>
      <c r="F17" s="30"/>
    </row>
    <row r="18" spans="1:6" ht="17" x14ac:dyDescent="0.2">
      <c r="A18" s="28" t="s">
        <v>11</v>
      </c>
      <c r="B18" s="30">
        <f>7475.68</f>
        <v>7475.68</v>
      </c>
      <c r="C18" s="30">
        <f>1</f>
        <v>1</v>
      </c>
      <c r="D18" s="30">
        <f t="shared" si="0"/>
        <v>7474.68</v>
      </c>
      <c r="F18" s="30"/>
    </row>
    <row r="19" spans="1:6" ht="17" x14ac:dyDescent="0.2">
      <c r="A19" s="28" t="s">
        <v>12</v>
      </c>
      <c r="B19" s="31">
        <f>(((B15)+(B16))+(B17))+(B18)</f>
        <v>85283.419999999984</v>
      </c>
      <c r="C19" s="31">
        <f>(((C15)+(C16))+(C17))+(C18)</f>
        <v>98003</v>
      </c>
      <c r="D19" s="31">
        <f t="shared" si="0"/>
        <v>-12719.580000000016</v>
      </c>
      <c r="F19" s="32">
        <f>F15</f>
        <v>42641.709999999992</v>
      </c>
    </row>
    <row r="20" spans="1:6" ht="17" x14ac:dyDescent="0.2">
      <c r="A20" s="28" t="s">
        <v>13</v>
      </c>
      <c r="B20" s="31">
        <f>((B13)+(B14))+(B19)</f>
        <v>100054.41999999998</v>
      </c>
      <c r="C20" s="31">
        <f>((C13)+(C14))+(C19)</f>
        <v>117003</v>
      </c>
      <c r="D20" s="31">
        <f t="shared" si="0"/>
        <v>-16948.580000000016</v>
      </c>
      <c r="F20" s="32">
        <f>F14+F15</f>
        <v>50027.209999999992</v>
      </c>
    </row>
    <row r="21" spans="1:6" ht="17" x14ac:dyDescent="0.2">
      <c r="A21" s="28" t="s">
        <v>14</v>
      </c>
      <c r="B21" s="29"/>
      <c r="C21" s="29"/>
      <c r="D21" s="30">
        <f t="shared" si="0"/>
        <v>0</v>
      </c>
      <c r="F21" s="30"/>
    </row>
    <row r="22" spans="1:6" ht="17" x14ac:dyDescent="0.2">
      <c r="A22" s="28" t="s">
        <v>15</v>
      </c>
      <c r="B22" s="30">
        <f>4160</f>
        <v>4160</v>
      </c>
      <c r="C22" s="30">
        <f>3600</f>
        <v>3600</v>
      </c>
      <c r="D22" s="30">
        <f t="shared" si="0"/>
        <v>560</v>
      </c>
      <c r="F22" s="30">
        <f t="shared" ref="F22:F28" si="1">B22*0.5</f>
        <v>2080</v>
      </c>
    </row>
    <row r="23" spans="1:6" ht="17" x14ac:dyDescent="0.2">
      <c r="A23" s="28" t="s">
        <v>16</v>
      </c>
      <c r="B23" s="30">
        <f>42047.25</f>
        <v>42047.25</v>
      </c>
      <c r="C23" s="30">
        <f>30000</f>
        <v>30000</v>
      </c>
      <c r="D23" s="30">
        <f t="shared" si="0"/>
        <v>12047.25</v>
      </c>
      <c r="F23" s="30">
        <f t="shared" si="1"/>
        <v>21023.625</v>
      </c>
    </row>
    <row r="24" spans="1:6" ht="17" x14ac:dyDescent="0.2">
      <c r="A24" s="28" t="s">
        <v>17</v>
      </c>
      <c r="B24" s="30">
        <f>7689</f>
        <v>7689</v>
      </c>
      <c r="C24" s="30">
        <f>5700</f>
        <v>5700</v>
      </c>
      <c r="D24" s="30">
        <f t="shared" si="0"/>
        <v>1989</v>
      </c>
      <c r="F24" s="30">
        <f t="shared" si="1"/>
        <v>3844.5</v>
      </c>
    </row>
    <row r="25" spans="1:6" ht="17" x14ac:dyDescent="0.2">
      <c r="A25" s="28" t="s">
        <v>18</v>
      </c>
      <c r="B25" s="30">
        <f>6275</f>
        <v>6275</v>
      </c>
      <c r="C25" s="30">
        <f>5250</f>
        <v>5250</v>
      </c>
      <c r="D25" s="30">
        <f t="shared" si="0"/>
        <v>1025</v>
      </c>
      <c r="F25" s="30">
        <f t="shared" si="1"/>
        <v>3137.5</v>
      </c>
    </row>
    <row r="26" spans="1:6" ht="17" x14ac:dyDescent="0.2">
      <c r="A26" s="35" t="s">
        <v>19</v>
      </c>
      <c r="B26" s="30">
        <f>37225</f>
        <v>37225</v>
      </c>
      <c r="C26" s="30">
        <f>35000</f>
        <v>35000</v>
      </c>
      <c r="D26" s="30">
        <f t="shared" si="0"/>
        <v>2225</v>
      </c>
      <c r="F26" s="30">
        <f t="shared" si="1"/>
        <v>18612.5</v>
      </c>
    </row>
    <row r="27" spans="1:6" ht="17" x14ac:dyDescent="0.2">
      <c r="A27" s="28" t="s">
        <v>20</v>
      </c>
      <c r="B27" s="30">
        <f>11000</f>
        <v>11000</v>
      </c>
      <c r="C27" s="30">
        <f>10700</f>
        <v>10700</v>
      </c>
      <c r="D27" s="30">
        <f t="shared" si="0"/>
        <v>300</v>
      </c>
      <c r="F27" s="30">
        <f t="shared" si="1"/>
        <v>5500</v>
      </c>
    </row>
    <row r="28" spans="1:6" ht="17" x14ac:dyDescent="0.2">
      <c r="A28" s="28" t="s">
        <v>21</v>
      </c>
      <c r="B28" s="30">
        <f>43500</f>
        <v>43500</v>
      </c>
      <c r="C28" s="30">
        <f>40000</f>
        <v>40000</v>
      </c>
      <c r="D28" s="30">
        <f t="shared" si="0"/>
        <v>3500</v>
      </c>
      <c r="F28" s="30">
        <f t="shared" si="1"/>
        <v>21750</v>
      </c>
    </row>
    <row r="29" spans="1:6" ht="17" x14ac:dyDescent="0.2">
      <c r="A29" s="28" t="s">
        <v>22</v>
      </c>
      <c r="B29" s="31">
        <f>(((((((B21)+(B22))+(B23))+(B24))+(B25))+(B26))+(B27))+(B28)</f>
        <v>151896.25</v>
      </c>
      <c r="C29" s="31">
        <f>(((((((C21)+(C22))+(C23))+(C24))+(C25))+(C26))+(C27))+(C28)</f>
        <v>130250</v>
      </c>
      <c r="D29" s="31">
        <f t="shared" si="0"/>
        <v>21646.25</v>
      </c>
      <c r="F29" s="32">
        <f>SUM(F22:F28)</f>
        <v>75948.125</v>
      </c>
    </row>
    <row r="30" spans="1:6" ht="17" x14ac:dyDescent="0.2">
      <c r="A30" s="28" t="s">
        <v>23</v>
      </c>
      <c r="B30" s="30">
        <f>2250</f>
        <v>2250</v>
      </c>
      <c r="C30" s="30">
        <f>2250</f>
        <v>2250</v>
      </c>
      <c r="D30" s="30">
        <f t="shared" si="0"/>
        <v>0</v>
      </c>
      <c r="F30" s="30">
        <v>0</v>
      </c>
    </row>
    <row r="31" spans="1:6" ht="17" x14ac:dyDescent="0.2">
      <c r="A31" s="28" t="s">
        <v>24</v>
      </c>
      <c r="B31" s="30">
        <f>4239.24</f>
        <v>4239.24</v>
      </c>
      <c r="C31" s="30">
        <f>3000</f>
        <v>3000</v>
      </c>
      <c r="D31" s="30">
        <f t="shared" si="0"/>
        <v>1239.2399999999998</v>
      </c>
      <c r="F31" s="30">
        <f>B31*0.5</f>
        <v>2119.62</v>
      </c>
    </row>
    <row r="32" spans="1:6" ht="17" x14ac:dyDescent="0.2">
      <c r="A32" s="28" t="s">
        <v>25</v>
      </c>
      <c r="B32" s="29"/>
      <c r="C32" s="29"/>
      <c r="D32" s="30">
        <f t="shared" si="0"/>
        <v>0</v>
      </c>
      <c r="F32" s="30"/>
    </row>
    <row r="33" spans="1:6" ht="17" x14ac:dyDescent="0.2">
      <c r="A33" s="28" t="s">
        <v>26</v>
      </c>
      <c r="B33" s="29"/>
      <c r="C33" s="30">
        <f>4000</f>
        <v>4000</v>
      </c>
      <c r="D33" s="30">
        <f t="shared" si="0"/>
        <v>-4000</v>
      </c>
      <c r="F33" s="30">
        <f>C33*0.5</f>
        <v>2000</v>
      </c>
    </row>
    <row r="34" spans="1:6" ht="17" x14ac:dyDescent="0.2">
      <c r="A34" s="28" t="s">
        <v>27</v>
      </c>
      <c r="B34" s="30">
        <f>3551</f>
        <v>3551</v>
      </c>
      <c r="C34" s="30">
        <f>15000</f>
        <v>15000</v>
      </c>
      <c r="D34" s="30">
        <f t="shared" si="0"/>
        <v>-11449</v>
      </c>
      <c r="F34" s="30">
        <f>C34*0.5</f>
        <v>7500</v>
      </c>
    </row>
    <row r="35" spans="1:6" ht="17" x14ac:dyDescent="0.2">
      <c r="A35" s="28" t="s">
        <v>28</v>
      </c>
      <c r="B35" s="30">
        <f>2753.44</f>
        <v>2753.44</v>
      </c>
      <c r="C35" s="30">
        <f>1</f>
        <v>1</v>
      </c>
      <c r="D35" s="30">
        <f t="shared" si="0"/>
        <v>2752.44</v>
      </c>
      <c r="F35" s="30"/>
    </row>
    <row r="36" spans="1:6" ht="17" x14ac:dyDescent="0.2">
      <c r="A36" s="28" t="s">
        <v>29</v>
      </c>
      <c r="B36" s="29"/>
      <c r="C36" s="30">
        <f>700</f>
        <v>700</v>
      </c>
      <c r="D36" s="30">
        <f t="shared" si="0"/>
        <v>-700</v>
      </c>
      <c r="F36" s="30">
        <f>C36*0.5</f>
        <v>350</v>
      </c>
    </row>
    <row r="37" spans="1:6" ht="17" x14ac:dyDescent="0.2">
      <c r="A37" s="28" t="s">
        <v>30</v>
      </c>
      <c r="B37" s="29"/>
      <c r="C37" s="30">
        <f>1000</f>
        <v>1000</v>
      </c>
      <c r="D37" s="30">
        <f t="shared" si="0"/>
        <v>-1000</v>
      </c>
      <c r="F37" s="30"/>
    </row>
    <row r="38" spans="1:6" ht="17" x14ac:dyDescent="0.2">
      <c r="A38" s="28" t="s">
        <v>31</v>
      </c>
      <c r="B38" s="30">
        <v>1798</v>
      </c>
      <c r="C38" s="30">
        <f>70000</f>
        <v>70000</v>
      </c>
      <c r="D38" s="30">
        <f t="shared" si="0"/>
        <v>-68202</v>
      </c>
      <c r="F38" s="30">
        <f>C38*0.5</f>
        <v>35000</v>
      </c>
    </row>
    <row r="39" spans="1:6" ht="17" x14ac:dyDescent="0.2">
      <c r="A39" s="28" t="s">
        <v>21</v>
      </c>
      <c r="B39" s="30">
        <f>1250</f>
        <v>1250</v>
      </c>
      <c r="C39" s="30">
        <f>14000</f>
        <v>14000</v>
      </c>
      <c r="D39" s="30">
        <f t="shared" si="0"/>
        <v>-12750</v>
      </c>
      <c r="F39" s="30">
        <f>C39*0.5</f>
        <v>7000</v>
      </c>
    </row>
    <row r="40" spans="1:6" ht="17" x14ac:dyDescent="0.2">
      <c r="A40" s="28" t="s">
        <v>32</v>
      </c>
      <c r="B40" s="31">
        <f>(((((((B32)+(B33))+(B34))+(B35))+(B36))+(B37))+(B38))+(B39)</f>
        <v>9352.44</v>
      </c>
      <c r="C40" s="31">
        <f>(((((((C32)+(C33))+(C34))+(C35))+(C36))+(C37))+(C38))+(C39)</f>
        <v>104701</v>
      </c>
      <c r="D40" s="31">
        <f t="shared" si="0"/>
        <v>-95348.56</v>
      </c>
      <c r="F40" s="32">
        <f>SUM(F30:F39)</f>
        <v>53969.619999999995</v>
      </c>
    </row>
    <row r="41" spans="1:6" ht="17" x14ac:dyDescent="0.2">
      <c r="A41" s="28" t="s">
        <v>33</v>
      </c>
      <c r="B41" s="31">
        <f>((((((B8)+(B11))+(B20))+(B29))+(B30))+(B31))+(B40)</f>
        <v>273501.34999999998</v>
      </c>
      <c r="C41" s="31">
        <f>((((((C8)+(C11))+(C20))+(C29))+(C30))+(C31))+(C40)</f>
        <v>362004</v>
      </c>
      <c r="D41" s="31">
        <f t="shared" si="0"/>
        <v>-88502.650000000023</v>
      </c>
      <c r="F41" s="32">
        <f>F40+F29+F20+F8+F10+F11+F12</f>
        <v>201369.95499999999</v>
      </c>
    </row>
    <row r="42" spans="1:6" ht="17" x14ac:dyDescent="0.2">
      <c r="A42" s="28" t="s">
        <v>34</v>
      </c>
      <c r="B42" s="31">
        <f>(B41)-(0)</f>
        <v>273501.34999999998</v>
      </c>
      <c r="C42" s="31">
        <f>(C41)-(0)</f>
        <v>362004</v>
      </c>
      <c r="D42" s="31">
        <f t="shared" si="0"/>
        <v>-88502.650000000023</v>
      </c>
      <c r="F42" s="32">
        <f>F41</f>
        <v>201369.95499999999</v>
      </c>
    </row>
    <row r="43" spans="1:6" ht="17" x14ac:dyDescent="0.2">
      <c r="A43" s="28" t="s">
        <v>35</v>
      </c>
      <c r="B43" s="29"/>
      <c r="C43" s="29"/>
      <c r="D43" s="29"/>
      <c r="F43" s="29"/>
    </row>
    <row r="44" spans="1:6" ht="17" x14ac:dyDescent="0.2">
      <c r="A44" s="28" t="s">
        <v>36</v>
      </c>
      <c r="B44" s="29"/>
      <c r="C44" s="29"/>
      <c r="D44" s="30">
        <f t="shared" ref="D44:D110" si="2">(B44)-(C44)</f>
        <v>0</v>
      </c>
      <c r="F44" s="30"/>
    </row>
    <row r="45" spans="1:6" ht="17" x14ac:dyDescent="0.2">
      <c r="A45" s="28" t="s">
        <v>37</v>
      </c>
      <c r="B45" s="30">
        <f>770</f>
        <v>770</v>
      </c>
      <c r="C45" s="30">
        <f>840</f>
        <v>840</v>
      </c>
      <c r="D45" s="30">
        <f t="shared" si="2"/>
        <v>-70</v>
      </c>
      <c r="F45" s="30">
        <v>960</v>
      </c>
    </row>
    <row r="46" spans="1:6" ht="17" x14ac:dyDescent="0.2">
      <c r="A46" s="28" t="s">
        <v>38</v>
      </c>
      <c r="B46" s="30">
        <f>119.02</f>
        <v>119.02</v>
      </c>
      <c r="C46" s="30">
        <f>95</f>
        <v>95</v>
      </c>
      <c r="D46" s="30">
        <f t="shared" si="2"/>
        <v>24.019999999999996</v>
      </c>
      <c r="F46" s="30">
        <v>120</v>
      </c>
    </row>
    <row r="47" spans="1:6" ht="17" x14ac:dyDescent="0.2">
      <c r="A47" s="28" t="s">
        <v>39</v>
      </c>
      <c r="B47" s="30">
        <f>386</f>
        <v>386</v>
      </c>
      <c r="C47" s="30">
        <f>750</f>
        <v>750</v>
      </c>
      <c r="D47" s="30">
        <f t="shared" si="2"/>
        <v>-364</v>
      </c>
      <c r="F47" s="30">
        <v>750</v>
      </c>
    </row>
    <row r="48" spans="1:6" ht="17" x14ac:dyDescent="0.2">
      <c r="A48" s="28" t="s">
        <v>40</v>
      </c>
      <c r="B48" s="30">
        <f>325</f>
        <v>325</v>
      </c>
      <c r="C48" s="30">
        <f>325</f>
        <v>325</v>
      </c>
      <c r="D48" s="30">
        <f t="shared" si="2"/>
        <v>0</v>
      </c>
      <c r="F48" s="30">
        <v>325</v>
      </c>
    </row>
    <row r="49" spans="1:6" ht="17" x14ac:dyDescent="0.2">
      <c r="A49" s="28" t="s">
        <v>41</v>
      </c>
      <c r="B49" s="30">
        <f>64.94</f>
        <v>64.94</v>
      </c>
      <c r="C49" s="30">
        <f>100</f>
        <v>100</v>
      </c>
      <c r="D49" s="30">
        <f t="shared" si="2"/>
        <v>-35.06</v>
      </c>
      <c r="F49" s="30">
        <v>100</v>
      </c>
    </row>
    <row r="50" spans="1:6" ht="17" x14ac:dyDescent="0.2">
      <c r="A50" s="28" t="s">
        <v>42</v>
      </c>
      <c r="B50" s="30">
        <f>1425</f>
        <v>1425</v>
      </c>
      <c r="C50" s="30">
        <f>1400</f>
        <v>1400</v>
      </c>
      <c r="D50" s="30">
        <f t="shared" si="2"/>
        <v>25</v>
      </c>
      <c r="F50" s="30">
        <v>1500</v>
      </c>
    </row>
    <row r="51" spans="1:6" ht="17" x14ac:dyDescent="0.2">
      <c r="A51" s="28" t="s">
        <v>43</v>
      </c>
      <c r="B51" s="30">
        <f>1146.3</f>
        <v>1146.3</v>
      </c>
      <c r="C51" s="30">
        <f>550</f>
        <v>550</v>
      </c>
      <c r="D51" s="30">
        <f t="shared" si="2"/>
        <v>596.29999999999995</v>
      </c>
      <c r="F51" s="30">
        <v>600</v>
      </c>
    </row>
    <row r="52" spans="1:6" ht="17" x14ac:dyDescent="0.2">
      <c r="A52" s="28" t="s">
        <v>44</v>
      </c>
      <c r="B52" s="31">
        <f>(((((((B44)+(B45))+(B46))+(B47))+(B48))+(B49))+(B50))+(B51)</f>
        <v>4236.26</v>
      </c>
      <c r="C52" s="31">
        <f>(((((((C44)+(C45))+(C46))+(C47))+(C48))+(C49))+(C50))+(C51)</f>
        <v>4060</v>
      </c>
      <c r="D52" s="31">
        <f t="shared" si="2"/>
        <v>176.26000000000022</v>
      </c>
      <c r="F52" s="32">
        <f>SUM(F45:F51)</f>
        <v>4355</v>
      </c>
    </row>
    <row r="53" spans="1:6" x14ac:dyDescent="0.2">
      <c r="A53" s="28"/>
      <c r="B53" s="33"/>
      <c r="C53" s="33"/>
      <c r="D53" s="33"/>
      <c r="F53" s="33"/>
    </row>
    <row r="54" spans="1:6" ht="17" x14ac:dyDescent="0.2">
      <c r="A54" s="28" t="s">
        <v>45</v>
      </c>
      <c r="B54" s="30">
        <f>2820.62</f>
        <v>2820.62</v>
      </c>
      <c r="C54" s="30">
        <f>3500</f>
        <v>3500</v>
      </c>
      <c r="D54" s="30">
        <f t="shared" si="2"/>
        <v>-679.38000000000011</v>
      </c>
      <c r="F54" s="33">
        <f>C54*0.5</f>
        <v>1750</v>
      </c>
    </row>
    <row r="55" spans="1:6" ht="17" x14ac:dyDescent="0.2">
      <c r="A55" s="28" t="s">
        <v>46</v>
      </c>
      <c r="B55" s="29"/>
      <c r="C55" s="29"/>
      <c r="D55" s="30">
        <f t="shared" si="2"/>
        <v>0</v>
      </c>
      <c r="F55" s="34"/>
    </row>
    <row r="56" spans="1:6" ht="17" x14ac:dyDescent="0.2">
      <c r="A56" s="28" t="s">
        <v>47</v>
      </c>
      <c r="B56" s="29"/>
      <c r="C56" s="29"/>
      <c r="D56" s="30">
        <f t="shared" si="2"/>
        <v>0</v>
      </c>
    </row>
    <row r="57" spans="1:6" ht="17" x14ac:dyDescent="0.2">
      <c r="A57" s="28" t="s">
        <v>48</v>
      </c>
      <c r="B57" s="30">
        <f>2244.74</f>
        <v>2244.7399999999998</v>
      </c>
      <c r="C57" s="30">
        <f>3000</f>
        <v>3000</v>
      </c>
      <c r="D57" s="30">
        <f t="shared" si="2"/>
        <v>-755.26000000000022</v>
      </c>
      <c r="F57" s="30">
        <f>C57*0.5</f>
        <v>1500</v>
      </c>
    </row>
    <row r="58" spans="1:6" ht="17" x14ac:dyDescent="0.2">
      <c r="A58" s="28" t="s">
        <v>49</v>
      </c>
      <c r="B58" s="30">
        <f>1419.08</f>
        <v>1419.08</v>
      </c>
      <c r="C58" s="30">
        <f>1800</f>
        <v>1800</v>
      </c>
      <c r="D58" s="30">
        <f t="shared" si="2"/>
        <v>-380.92000000000007</v>
      </c>
      <c r="F58" s="36">
        <f>B58*0.5</f>
        <v>709.54</v>
      </c>
    </row>
    <row r="59" spans="1:6" ht="34" x14ac:dyDescent="0.2">
      <c r="A59" s="28" t="s">
        <v>50</v>
      </c>
      <c r="B59" s="31">
        <f>((B56)+(B57))+(B58)</f>
        <v>3663.8199999999997</v>
      </c>
      <c r="C59" s="31">
        <f>((C56)+(C57))+(C58)</f>
        <v>4800</v>
      </c>
      <c r="D59" s="31">
        <f t="shared" si="2"/>
        <v>-1136.1800000000003</v>
      </c>
      <c r="F59" s="32">
        <f>F57+F58</f>
        <v>2209.54</v>
      </c>
    </row>
    <row r="60" spans="1:6" ht="17" x14ac:dyDescent="0.2">
      <c r="A60" s="28" t="s">
        <v>51</v>
      </c>
      <c r="B60" s="29"/>
      <c r="C60" s="29"/>
      <c r="D60" s="30">
        <f t="shared" si="2"/>
        <v>0</v>
      </c>
      <c r="F60" s="30"/>
    </row>
    <row r="61" spans="1:6" ht="17" x14ac:dyDescent="0.2">
      <c r="A61" s="28" t="s">
        <v>52</v>
      </c>
      <c r="B61" s="30">
        <f>1200.15</f>
        <v>1200.1500000000001</v>
      </c>
      <c r="C61" s="30">
        <f>1700</f>
        <v>1700</v>
      </c>
      <c r="D61" s="30">
        <f t="shared" si="2"/>
        <v>-499.84999999999991</v>
      </c>
      <c r="F61" s="30">
        <f>B61*0.5</f>
        <v>600.07500000000005</v>
      </c>
    </row>
    <row r="62" spans="1:6" ht="17" x14ac:dyDescent="0.2">
      <c r="A62" s="28" t="s">
        <v>53</v>
      </c>
      <c r="B62" s="30">
        <f>2346.37</f>
        <v>2346.37</v>
      </c>
      <c r="C62" s="30">
        <f>6100</f>
        <v>6100</v>
      </c>
      <c r="D62" s="30">
        <f t="shared" si="2"/>
        <v>-3753.63</v>
      </c>
      <c r="F62" s="30">
        <f>B62*0.5</f>
        <v>1173.1849999999999</v>
      </c>
    </row>
    <row r="63" spans="1:6" ht="17" x14ac:dyDescent="0.2">
      <c r="A63" s="35" t="s">
        <v>54</v>
      </c>
      <c r="B63" s="30">
        <f>40346.27</f>
        <v>40346.269999999997</v>
      </c>
      <c r="C63" s="30">
        <f>35200</f>
        <v>35200</v>
      </c>
      <c r="D63" s="30">
        <f t="shared" si="2"/>
        <v>5146.2699999999968</v>
      </c>
      <c r="F63" s="30">
        <f>B63*0.5</f>
        <v>20173.134999999998</v>
      </c>
    </row>
    <row r="64" spans="1:6" ht="17" x14ac:dyDescent="0.2">
      <c r="A64" s="28" t="s">
        <v>55</v>
      </c>
      <c r="B64" s="30">
        <f>700</f>
        <v>700</v>
      </c>
      <c r="C64" s="30">
        <f>1000</f>
        <v>1000</v>
      </c>
      <c r="D64" s="30">
        <f t="shared" si="2"/>
        <v>-300</v>
      </c>
      <c r="F64" s="30">
        <f>C64*0.5</f>
        <v>500</v>
      </c>
    </row>
    <row r="65" spans="1:6" ht="17" x14ac:dyDescent="0.2">
      <c r="A65" s="28" t="s">
        <v>56</v>
      </c>
      <c r="B65" s="30">
        <f>1340.26</f>
        <v>1340.26</v>
      </c>
      <c r="C65" s="30">
        <f>1000</f>
        <v>1000</v>
      </c>
      <c r="D65" s="30">
        <f t="shared" si="2"/>
        <v>340.26</v>
      </c>
      <c r="F65" s="30">
        <f>B65*0.5</f>
        <v>670.13</v>
      </c>
    </row>
    <row r="66" spans="1:6" ht="17" x14ac:dyDescent="0.2">
      <c r="A66" s="28" t="s">
        <v>57</v>
      </c>
      <c r="B66" s="29"/>
      <c r="C66" s="30">
        <f>200</f>
        <v>200</v>
      </c>
      <c r="D66" s="30">
        <f t="shared" si="2"/>
        <v>-200</v>
      </c>
      <c r="F66" s="30">
        <v>200</v>
      </c>
    </row>
    <row r="67" spans="1:6" ht="17" x14ac:dyDescent="0.2">
      <c r="A67" s="28" t="s">
        <v>58</v>
      </c>
      <c r="B67" s="29"/>
      <c r="C67" s="30">
        <f>250</f>
        <v>250</v>
      </c>
      <c r="D67" s="30">
        <f t="shared" si="2"/>
        <v>-250</v>
      </c>
      <c r="F67" s="30">
        <v>250</v>
      </c>
    </row>
    <row r="68" spans="1:6" ht="17" x14ac:dyDescent="0.2">
      <c r="A68" s="28" t="s">
        <v>59</v>
      </c>
      <c r="B68" s="29"/>
      <c r="C68" s="30">
        <f>500</f>
        <v>500</v>
      </c>
      <c r="D68" s="30">
        <f t="shared" si="2"/>
        <v>-500</v>
      </c>
      <c r="F68" s="30">
        <v>500</v>
      </c>
    </row>
    <row r="69" spans="1:6" ht="17" x14ac:dyDescent="0.2">
      <c r="A69" s="28" t="s">
        <v>60</v>
      </c>
      <c r="B69" s="30">
        <f>2633</f>
        <v>2633</v>
      </c>
      <c r="C69" s="30">
        <f>2700</f>
        <v>2700</v>
      </c>
      <c r="D69" s="30">
        <f t="shared" si="2"/>
        <v>-67</v>
      </c>
      <c r="F69" s="30">
        <v>2700</v>
      </c>
    </row>
    <row r="70" spans="1:6" ht="17" x14ac:dyDescent="0.2">
      <c r="A70" s="28" t="s">
        <v>61</v>
      </c>
      <c r="B70" s="30">
        <f>4368.51</f>
        <v>4368.51</v>
      </c>
      <c r="C70" s="30">
        <f>4000</f>
        <v>4000</v>
      </c>
      <c r="D70" s="30">
        <f t="shared" si="2"/>
        <v>368.51000000000022</v>
      </c>
      <c r="F70" s="30">
        <f>B70*0.5</f>
        <v>2184.2550000000001</v>
      </c>
    </row>
    <row r="71" spans="1:6" ht="17" x14ac:dyDescent="0.2">
      <c r="A71" s="28" t="s">
        <v>62</v>
      </c>
      <c r="B71" s="30">
        <f>1011.03</f>
        <v>1011.03</v>
      </c>
      <c r="C71" s="30">
        <f>2000</f>
        <v>2000</v>
      </c>
      <c r="D71" s="30">
        <f t="shared" si="2"/>
        <v>-988.97</v>
      </c>
      <c r="F71" s="30">
        <f>B71*0.5</f>
        <v>505.51499999999999</v>
      </c>
    </row>
    <row r="72" spans="1:6" ht="17" x14ac:dyDescent="0.2">
      <c r="A72" s="28" t="s">
        <v>63</v>
      </c>
      <c r="B72" s="30">
        <f>586.14</f>
        <v>586.14</v>
      </c>
      <c r="C72" s="30">
        <f>1000</f>
        <v>1000</v>
      </c>
      <c r="D72" s="30">
        <f t="shared" si="2"/>
        <v>-413.86</v>
      </c>
      <c r="F72" s="30">
        <v>500</v>
      </c>
    </row>
    <row r="73" spans="1:6" ht="17" x14ac:dyDescent="0.2">
      <c r="A73" s="28" t="s">
        <v>64</v>
      </c>
      <c r="B73" s="31">
        <f>((((((((((((B60)+(B61))+(B62))+(B63))+(B64))+(B65))+(B66))+(B67))+(B68))+(B69))+(B70))+(B71))+(B72)</f>
        <v>54531.729999999996</v>
      </c>
      <c r="C73" s="31">
        <f>((((((((((((C60)+(C61))+(C62))+(C63))+(C64))+(C65))+(C66))+(C67))+(C68))+(C69))+(C70))+(C71))+(C72)</f>
        <v>55650</v>
      </c>
      <c r="D73" s="31">
        <f t="shared" si="2"/>
        <v>-1118.2700000000041</v>
      </c>
      <c r="F73" s="32">
        <f>SUM(F61:F72)</f>
        <v>29956.294999999998</v>
      </c>
    </row>
    <row r="74" spans="1:6" x14ac:dyDescent="0.2">
      <c r="A74" s="28"/>
      <c r="B74" s="33"/>
      <c r="C74" s="33"/>
      <c r="D74" s="33"/>
      <c r="F74" s="33"/>
    </row>
    <row r="75" spans="1:6" ht="17" x14ac:dyDescent="0.2">
      <c r="A75" s="28" t="s">
        <v>65</v>
      </c>
      <c r="B75" s="29"/>
      <c r="C75" s="30">
        <f>150</f>
        <v>150</v>
      </c>
      <c r="D75" s="30">
        <f t="shared" si="2"/>
        <v>-150</v>
      </c>
      <c r="F75" s="34">
        <v>150</v>
      </c>
    </row>
    <row r="76" spans="1:6" ht="17" x14ac:dyDescent="0.2">
      <c r="A76" s="28" t="s">
        <v>66</v>
      </c>
      <c r="B76" s="29"/>
      <c r="C76" s="29"/>
      <c r="D76" s="30">
        <f t="shared" si="2"/>
        <v>0</v>
      </c>
      <c r="F76" s="30"/>
    </row>
    <row r="77" spans="1:6" ht="17" x14ac:dyDescent="0.2">
      <c r="A77" s="28" t="s">
        <v>67</v>
      </c>
      <c r="B77" s="30">
        <f>98.77</f>
        <v>98.77</v>
      </c>
      <c r="C77" s="30">
        <f>4300</f>
        <v>4300</v>
      </c>
      <c r="D77" s="30">
        <f t="shared" si="2"/>
        <v>-4201.2299999999996</v>
      </c>
      <c r="F77" s="30">
        <f>C78*0.5</f>
        <v>1700</v>
      </c>
    </row>
    <row r="78" spans="1:6" ht="17" x14ac:dyDescent="0.2">
      <c r="A78" s="28" t="s">
        <v>68</v>
      </c>
      <c r="B78" s="29"/>
      <c r="C78" s="30">
        <f>3400</f>
        <v>3400</v>
      </c>
      <c r="D78" s="30">
        <f t="shared" si="2"/>
        <v>-3400</v>
      </c>
      <c r="F78" s="30">
        <f>C79*0.5</f>
        <v>1250</v>
      </c>
    </row>
    <row r="79" spans="1:6" ht="17" x14ac:dyDescent="0.2">
      <c r="A79" s="28" t="s">
        <v>55</v>
      </c>
      <c r="B79" s="30">
        <f>202.5</f>
        <v>202.5</v>
      </c>
      <c r="C79" s="30">
        <f>2500</f>
        <v>2500</v>
      </c>
      <c r="D79" s="30">
        <f t="shared" si="2"/>
        <v>-2297.5</v>
      </c>
      <c r="F79" s="30">
        <f>C80*0.5</f>
        <v>0.5</v>
      </c>
    </row>
    <row r="80" spans="1:6" ht="34" x14ac:dyDescent="0.2">
      <c r="A80" s="28" t="s">
        <v>69</v>
      </c>
      <c r="B80" s="30">
        <f>368.03</f>
        <v>368.03</v>
      </c>
      <c r="C80" s="30">
        <f>1</f>
        <v>1</v>
      </c>
      <c r="D80" s="30">
        <f t="shared" si="2"/>
        <v>367.03</v>
      </c>
      <c r="F80" s="30">
        <v>0</v>
      </c>
    </row>
    <row r="81" spans="1:6" ht="17" x14ac:dyDescent="0.2">
      <c r="A81" s="28" t="s">
        <v>70</v>
      </c>
      <c r="B81" s="30">
        <f>98.75</f>
        <v>98.75</v>
      </c>
      <c r="C81" s="30">
        <f>10000</f>
        <v>10000</v>
      </c>
      <c r="D81" s="30">
        <f t="shared" si="2"/>
        <v>-9901.25</v>
      </c>
      <c r="F81" s="30">
        <f>C82*0.5</f>
        <v>4000</v>
      </c>
    </row>
    <row r="82" spans="1:6" ht="17" x14ac:dyDescent="0.2">
      <c r="A82" s="28" t="s">
        <v>57</v>
      </c>
      <c r="B82" s="30">
        <f>2940</f>
        <v>2940</v>
      </c>
      <c r="C82" s="30">
        <f>8000</f>
        <v>8000</v>
      </c>
      <c r="D82" s="30">
        <f t="shared" si="2"/>
        <v>-5060</v>
      </c>
      <c r="F82" s="30">
        <f>C83*0.5</f>
        <v>150</v>
      </c>
    </row>
    <row r="83" spans="1:6" ht="17" x14ac:dyDescent="0.2">
      <c r="A83" s="28" t="s">
        <v>60</v>
      </c>
      <c r="B83" s="29"/>
      <c r="C83" s="30">
        <f>300</f>
        <v>300</v>
      </c>
      <c r="D83" s="30">
        <f t="shared" si="2"/>
        <v>-300</v>
      </c>
      <c r="F83" s="30">
        <v>300</v>
      </c>
    </row>
    <row r="84" spans="1:6" ht="17" x14ac:dyDescent="0.2">
      <c r="A84" s="28" t="s">
        <v>71</v>
      </c>
      <c r="B84" s="29"/>
      <c r="C84" s="30">
        <f>2500</f>
        <v>2500</v>
      </c>
      <c r="D84" s="30">
        <f t="shared" si="2"/>
        <v>-2500</v>
      </c>
      <c r="F84" s="30">
        <f>C85*0.5</f>
        <v>600</v>
      </c>
    </row>
    <row r="85" spans="1:6" ht="17" x14ac:dyDescent="0.2">
      <c r="A85" s="28" t="s">
        <v>72</v>
      </c>
      <c r="B85" s="30">
        <f>432.54</f>
        <v>432.54</v>
      </c>
      <c r="C85" s="30">
        <f>1200</f>
        <v>1200</v>
      </c>
      <c r="D85" s="30">
        <f t="shared" si="2"/>
        <v>-767.46</v>
      </c>
      <c r="F85" s="30">
        <f>C86*0.5</f>
        <v>700</v>
      </c>
    </row>
    <row r="86" spans="1:6" ht="17" x14ac:dyDescent="0.2">
      <c r="A86" s="28" t="s">
        <v>73</v>
      </c>
      <c r="B86" s="30">
        <f>560.23</f>
        <v>560.23</v>
      </c>
      <c r="C86" s="30">
        <f>1400</f>
        <v>1400</v>
      </c>
      <c r="D86" s="30">
        <f t="shared" si="2"/>
        <v>-839.77</v>
      </c>
      <c r="F86" s="30">
        <f>C87*0.5</f>
        <v>16800.5</v>
      </c>
    </row>
    <row r="87" spans="1:6" ht="17" x14ac:dyDescent="0.2">
      <c r="A87" s="28" t="s">
        <v>74</v>
      </c>
      <c r="B87" s="31">
        <f>((((((((((B76)+(B77))+(B78))+(B79))+(B80))+(B81))+(B82))+(B83))+(B84))+(B85))+(B86)</f>
        <v>4700.82</v>
      </c>
      <c r="C87" s="31">
        <f>((((((((((C76)+(C77))+(C78))+(C79))+(C80))+(C81))+(C82))+(C83))+(C84))+(C85))+(C86)</f>
        <v>33601</v>
      </c>
      <c r="D87" s="31">
        <f t="shared" si="2"/>
        <v>-28900.18</v>
      </c>
      <c r="F87" s="32">
        <f>SUM(F77:F86)</f>
        <v>25501</v>
      </c>
    </row>
    <row r="88" spans="1:6" ht="17" x14ac:dyDescent="0.2">
      <c r="A88" s="28" t="s">
        <v>75</v>
      </c>
      <c r="B88" s="31">
        <f>((((B55)+(B59))+(B73))+(B75))+(B87)</f>
        <v>62896.369999999995</v>
      </c>
      <c r="C88" s="31">
        <f>((((C55)+(C59))+(C73))+(C75))+(C87)</f>
        <v>94201</v>
      </c>
      <c r="D88" s="31">
        <f t="shared" si="2"/>
        <v>-31304.630000000005</v>
      </c>
      <c r="F88" s="32">
        <f>F87+F73+F59</f>
        <v>57666.834999999999</v>
      </c>
    </row>
    <row r="89" spans="1:6" ht="17" x14ac:dyDescent="0.2">
      <c r="A89" s="28" t="s">
        <v>76</v>
      </c>
      <c r="B89" s="29"/>
      <c r="C89" s="29"/>
      <c r="D89" s="30">
        <f t="shared" si="2"/>
        <v>0</v>
      </c>
      <c r="F89" s="30"/>
    </row>
    <row r="90" spans="1:6" ht="17" x14ac:dyDescent="0.2">
      <c r="A90" s="35" t="s">
        <v>145</v>
      </c>
      <c r="B90" s="37"/>
      <c r="C90" s="37"/>
      <c r="D90" s="38"/>
      <c r="F90" s="38">
        <v>13809</v>
      </c>
    </row>
    <row r="91" spans="1:6" ht="17" x14ac:dyDescent="0.2">
      <c r="A91" s="28" t="s">
        <v>77</v>
      </c>
      <c r="B91" s="30">
        <f>8700</f>
        <v>8700</v>
      </c>
      <c r="C91" s="30">
        <f>8500</f>
        <v>8500</v>
      </c>
      <c r="D91" s="30">
        <f t="shared" si="2"/>
        <v>200</v>
      </c>
      <c r="F91" s="30">
        <v>9319</v>
      </c>
    </row>
    <row r="92" spans="1:6" ht="17" x14ac:dyDescent="0.2">
      <c r="A92" s="28" t="s">
        <v>78</v>
      </c>
      <c r="B92" s="31">
        <f>(B89)+(B91)</f>
        <v>8700</v>
      </c>
      <c r="C92" s="31">
        <f>(C89)+(C91)</f>
        <v>8500</v>
      </c>
      <c r="D92" s="31">
        <f t="shared" si="2"/>
        <v>200</v>
      </c>
      <c r="F92" s="32">
        <f>SUM(F90:F91)</f>
        <v>23128</v>
      </c>
    </row>
    <row r="93" spans="1:6" ht="17" x14ac:dyDescent="0.2">
      <c r="A93" s="28" t="s">
        <v>79</v>
      </c>
      <c r="B93" s="29"/>
      <c r="C93" s="29"/>
      <c r="D93" s="30">
        <f t="shared" si="2"/>
        <v>0</v>
      </c>
      <c r="F93" s="30"/>
    </row>
    <row r="94" spans="1:6" ht="17" x14ac:dyDescent="0.2">
      <c r="A94" s="28" t="s">
        <v>80</v>
      </c>
      <c r="B94" s="30">
        <f>2020</f>
        <v>2020</v>
      </c>
      <c r="C94" s="30">
        <f>2020</f>
        <v>2020</v>
      </c>
      <c r="D94" s="30">
        <f t="shared" si="2"/>
        <v>0</v>
      </c>
      <c r="F94" s="30">
        <v>0</v>
      </c>
    </row>
    <row r="95" spans="1:6" ht="17" x14ac:dyDescent="0.2">
      <c r="A95" s="28" t="s">
        <v>81</v>
      </c>
      <c r="B95" s="30">
        <f>1710.99</f>
        <v>1710.99</v>
      </c>
      <c r="C95" s="30">
        <f>2000</f>
        <v>2000</v>
      </c>
      <c r="D95" s="30">
        <f t="shared" si="2"/>
        <v>-289.01</v>
      </c>
      <c r="F95" s="30">
        <v>0</v>
      </c>
    </row>
    <row r="96" spans="1:6" ht="17" x14ac:dyDescent="0.2">
      <c r="A96" s="28" t="s">
        <v>82</v>
      </c>
      <c r="B96" s="30">
        <f>506.13</f>
        <v>506.13</v>
      </c>
      <c r="C96" s="30">
        <f>500</f>
        <v>500</v>
      </c>
      <c r="D96" s="30">
        <f t="shared" si="2"/>
        <v>6.1299999999999955</v>
      </c>
      <c r="F96" s="30">
        <v>0</v>
      </c>
    </row>
    <row r="97" spans="1:6" ht="17" x14ac:dyDescent="0.2">
      <c r="A97" s="28" t="s">
        <v>83</v>
      </c>
      <c r="B97" s="30">
        <f>1799.1</f>
        <v>1799.1</v>
      </c>
      <c r="C97" s="30">
        <f>1825</f>
        <v>1825</v>
      </c>
      <c r="D97" s="30">
        <f t="shared" si="2"/>
        <v>-25.900000000000091</v>
      </c>
      <c r="F97" s="36">
        <v>1606</v>
      </c>
    </row>
    <row r="98" spans="1:6" ht="17" x14ac:dyDescent="0.2">
      <c r="A98" s="28" t="s">
        <v>84</v>
      </c>
      <c r="B98" s="31">
        <f>((((B93)+(B94))+(B95))+(B96))+(B97)</f>
        <v>6036.2199999999993</v>
      </c>
      <c r="C98" s="31">
        <f>((((C93)+(C94))+(C95))+(C96))+(C97)</f>
        <v>6345</v>
      </c>
      <c r="D98" s="31">
        <f t="shared" si="2"/>
        <v>-308.78000000000065</v>
      </c>
      <c r="F98" s="32">
        <f>SUM(F94:F97)</f>
        <v>1606</v>
      </c>
    </row>
    <row r="99" spans="1:6" ht="17" x14ac:dyDescent="0.2">
      <c r="A99" s="28" t="s">
        <v>85</v>
      </c>
      <c r="B99" s="29"/>
      <c r="C99" s="29"/>
      <c r="D99" s="30">
        <f t="shared" si="2"/>
        <v>0</v>
      </c>
      <c r="F99" s="30"/>
    </row>
    <row r="100" spans="1:6" ht="17" x14ac:dyDescent="0.2">
      <c r="A100" s="28" t="s">
        <v>86</v>
      </c>
      <c r="B100" s="30">
        <f>241</f>
        <v>241</v>
      </c>
      <c r="C100" s="30">
        <f>250</f>
        <v>250</v>
      </c>
      <c r="D100" s="30">
        <f t="shared" si="2"/>
        <v>-9</v>
      </c>
      <c r="F100" s="30">
        <v>500</v>
      </c>
    </row>
    <row r="101" spans="1:6" ht="17" x14ac:dyDescent="0.2">
      <c r="A101" s="28" t="s">
        <v>87</v>
      </c>
      <c r="B101" s="30">
        <f>2000</f>
        <v>2000</v>
      </c>
      <c r="C101" s="30">
        <f>2000</f>
        <v>2000</v>
      </c>
      <c r="D101" s="30">
        <f t="shared" si="2"/>
        <v>0</v>
      </c>
      <c r="F101" s="30">
        <v>0</v>
      </c>
    </row>
    <row r="102" spans="1:6" ht="34" x14ac:dyDescent="0.2">
      <c r="A102" s="28" t="s">
        <v>88</v>
      </c>
      <c r="B102" s="30">
        <f>2250</f>
        <v>2250</v>
      </c>
      <c r="C102" s="30">
        <f>2250</f>
        <v>2250</v>
      </c>
      <c r="D102" s="30">
        <f t="shared" si="2"/>
        <v>0</v>
      </c>
      <c r="F102" s="36">
        <v>0</v>
      </c>
    </row>
    <row r="103" spans="1:6" ht="17" x14ac:dyDescent="0.2">
      <c r="A103" s="28" t="s">
        <v>89</v>
      </c>
      <c r="B103" s="31">
        <f>(((B99)+(B100))+(B101))+(B102)</f>
        <v>4491</v>
      </c>
      <c r="C103" s="31">
        <f>(((C99)+(C100))+(C101))+(C102)</f>
        <v>4500</v>
      </c>
      <c r="D103" s="31">
        <f t="shared" si="2"/>
        <v>-9</v>
      </c>
      <c r="F103" s="32">
        <f>SUM(F100:F102)</f>
        <v>500</v>
      </c>
    </row>
    <row r="104" spans="1:6" ht="17" x14ac:dyDescent="0.2">
      <c r="A104" s="28" t="s">
        <v>90</v>
      </c>
      <c r="B104" s="29"/>
      <c r="C104" s="29"/>
      <c r="D104" s="30">
        <f t="shared" si="2"/>
        <v>0</v>
      </c>
      <c r="F104" s="30"/>
    </row>
    <row r="105" spans="1:6" ht="34" x14ac:dyDescent="0.2">
      <c r="A105" s="28" t="s">
        <v>91</v>
      </c>
      <c r="B105" s="30">
        <f>5755.05</f>
        <v>5755.05</v>
      </c>
      <c r="C105" s="30">
        <f>7200</f>
        <v>7200</v>
      </c>
      <c r="D105" s="30">
        <f t="shared" si="2"/>
        <v>-1444.9499999999998</v>
      </c>
      <c r="F105" s="30">
        <v>7200</v>
      </c>
    </row>
    <row r="106" spans="1:6" ht="17" x14ac:dyDescent="0.2">
      <c r="A106" s="28" t="s">
        <v>92</v>
      </c>
      <c r="B106" s="30">
        <f>25000</f>
        <v>25000</v>
      </c>
      <c r="C106" s="30">
        <f>25000</f>
        <v>25000</v>
      </c>
      <c r="D106" s="30">
        <f t="shared" si="2"/>
        <v>0</v>
      </c>
      <c r="F106" s="38">
        <v>0</v>
      </c>
    </row>
    <row r="107" spans="1:6" ht="34" x14ac:dyDescent="0.2">
      <c r="A107" s="28" t="s">
        <v>93</v>
      </c>
      <c r="B107" s="30">
        <f>242.01</f>
        <v>242.01</v>
      </c>
      <c r="C107" s="30">
        <f>1000</f>
        <v>1000</v>
      </c>
      <c r="D107" s="30">
        <f t="shared" si="2"/>
        <v>-757.99</v>
      </c>
      <c r="F107" s="30">
        <v>0</v>
      </c>
    </row>
    <row r="108" spans="1:6" ht="17" x14ac:dyDescent="0.2">
      <c r="A108" s="28" t="s">
        <v>94</v>
      </c>
      <c r="B108" s="29"/>
      <c r="C108" s="30">
        <f>1000</f>
        <v>1000</v>
      </c>
      <c r="D108" s="30">
        <f t="shared" si="2"/>
        <v>-1000</v>
      </c>
      <c r="F108" s="30">
        <v>500</v>
      </c>
    </row>
    <row r="109" spans="1:6" ht="17" x14ac:dyDescent="0.2">
      <c r="A109" s="28" t="s">
        <v>95</v>
      </c>
      <c r="B109" s="31">
        <f>((((B104)+(B105))+(B106))+(B107))+(B108)</f>
        <v>30997.059999999998</v>
      </c>
      <c r="C109" s="31">
        <f>((((C104)+(C105))+(C106))+(C107))+(C108)</f>
        <v>34200</v>
      </c>
      <c r="D109" s="31">
        <f t="shared" si="2"/>
        <v>-3202.9400000000023</v>
      </c>
      <c r="F109" s="32">
        <f>SUM(F105:F108)</f>
        <v>7700</v>
      </c>
    </row>
    <row r="110" spans="1:6" ht="17" x14ac:dyDescent="0.2">
      <c r="A110" s="28" t="s">
        <v>96</v>
      </c>
      <c r="B110" s="29"/>
      <c r="C110" s="29"/>
      <c r="D110" s="30">
        <f t="shared" si="2"/>
        <v>0</v>
      </c>
      <c r="F110" s="30"/>
    </row>
    <row r="111" spans="1:6" ht="17" x14ac:dyDescent="0.2">
      <c r="A111" s="28" t="s">
        <v>97</v>
      </c>
      <c r="B111" s="30">
        <f>12650</f>
        <v>12650</v>
      </c>
      <c r="C111" s="30">
        <f>12456</f>
        <v>12456</v>
      </c>
      <c r="D111" s="30">
        <f t="shared" ref="D111:D129" si="3">(B111)-(C111)</f>
        <v>194</v>
      </c>
      <c r="F111" s="30">
        <v>0</v>
      </c>
    </row>
    <row r="112" spans="1:6" ht="17" x14ac:dyDescent="0.2">
      <c r="A112" s="28" t="s">
        <v>98</v>
      </c>
      <c r="B112" s="30">
        <f>18081</f>
        <v>18081</v>
      </c>
      <c r="C112" s="30">
        <f>16962</f>
        <v>16962</v>
      </c>
      <c r="D112" s="30">
        <f t="shared" si="3"/>
        <v>1119</v>
      </c>
      <c r="F112" s="38">
        <f>'Salary - Impact Teachers'!B35</f>
        <v>16988.400000000001</v>
      </c>
    </row>
    <row r="113" spans="1:6" ht="17" x14ac:dyDescent="0.2">
      <c r="A113" s="28" t="s">
        <v>99</v>
      </c>
      <c r="B113" s="30">
        <f>2120.72</f>
        <v>2120.7199999999998</v>
      </c>
      <c r="C113" s="30">
        <f>3000</f>
        <v>3000</v>
      </c>
      <c r="D113" s="30">
        <f t="shared" si="3"/>
        <v>-879.2800000000002</v>
      </c>
      <c r="F113" s="30">
        <v>1000</v>
      </c>
    </row>
    <row r="114" spans="1:6" ht="17" x14ac:dyDescent="0.2">
      <c r="A114" s="28" t="s">
        <v>100</v>
      </c>
      <c r="B114" s="30">
        <f>24500</f>
        <v>24500</v>
      </c>
      <c r="C114" s="30">
        <f>24500</f>
        <v>24500</v>
      </c>
      <c r="D114" s="30">
        <f t="shared" si="3"/>
        <v>0</v>
      </c>
      <c r="F114" s="30">
        <f>(C114/3)*2-2722</f>
        <v>13611.333333333334</v>
      </c>
    </row>
    <row r="115" spans="1:6" ht="17" x14ac:dyDescent="0.2">
      <c r="A115" s="28" t="s">
        <v>101</v>
      </c>
      <c r="B115" s="29"/>
      <c r="C115" s="30">
        <f>4000</f>
        <v>4000</v>
      </c>
      <c r="D115" s="30">
        <f t="shared" si="3"/>
        <v>-4000</v>
      </c>
      <c r="F115" s="38">
        <v>0</v>
      </c>
    </row>
    <row r="116" spans="1:6" ht="17" x14ac:dyDescent="0.2">
      <c r="A116" s="28" t="s">
        <v>102</v>
      </c>
      <c r="B116" s="31">
        <f>(((((B110)+(B111))+(B112))+(B113))+(B114))+(B115)</f>
        <v>57351.72</v>
      </c>
      <c r="C116" s="31">
        <f>(((((C110)+(C111))+(C112))+(C113))+(C114))+(C115)</f>
        <v>60918</v>
      </c>
      <c r="D116" s="31">
        <f t="shared" si="3"/>
        <v>-3566.2799999999988</v>
      </c>
      <c r="F116" s="32">
        <f>SUM(F111:F115)</f>
        <v>31599.733333333337</v>
      </c>
    </row>
    <row r="117" spans="1:6" ht="17" x14ac:dyDescent="0.2">
      <c r="A117" s="28" t="s">
        <v>103</v>
      </c>
      <c r="B117" s="29"/>
      <c r="C117" s="29"/>
      <c r="D117" s="30">
        <f t="shared" si="3"/>
        <v>0</v>
      </c>
      <c r="F117" s="30"/>
    </row>
    <row r="118" spans="1:6" ht="17" x14ac:dyDescent="0.2">
      <c r="A118" s="28" t="s">
        <v>104</v>
      </c>
      <c r="B118" s="29"/>
      <c r="C118" s="30">
        <f>3250</f>
        <v>3250</v>
      </c>
      <c r="D118" s="30">
        <f t="shared" si="3"/>
        <v>-3250</v>
      </c>
      <c r="F118" s="38">
        <v>0</v>
      </c>
    </row>
    <row r="119" spans="1:6" ht="17" x14ac:dyDescent="0.2">
      <c r="A119" s="28" t="s">
        <v>105</v>
      </c>
      <c r="B119" s="30">
        <f>26246</f>
        <v>26246</v>
      </c>
      <c r="C119" s="30">
        <f>27508</f>
        <v>27508</v>
      </c>
      <c r="D119" s="30">
        <f t="shared" si="3"/>
        <v>-1262</v>
      </c>
      <c r="F119" s="30">
        <v>0</v>
      </c>
    </row>
    <row r="120" spans="1:6" ht="17" x14ac:dyDescent="0.2">
      <c r="A120" s="28" t="s">
        <v>106</v>
      </c>
      <c r="B120" s="30">
        <f>101040</f>
        <v>101040</v>
      </c>
      <c r="C120" s="30">
        <f>101767</f>
        <v>101767</v>
      </c>
      <c r="D120" s="30">
        <f t="shared" si="3"/>
        <v>-727</v>
      </c>
      <c r="F120" s="38">
        <f>'Salary - Impact Teachers'!B37</f>
        <v>84942</v>
      </c>
    </row>
    <row r="121" spans="1:6" ht="17" x14ac:dyDescent="0.2">
      <c r="A121" s="28" t="s">
        <v>107</v>
      </c>
      <c r="B121" s="30">
        <f>28591.57</f>
        <v>28591.57</v>
      </c>
      <c r="C121" s="30">
        <f>33887</f>
        <v>33887</v>
      </c>
      <c r="D121" s="30">
        <f t="shared" si="3"/>
        <v>-5295.43</v>
      </c>
      <c r="F121" s="38">
        <f>'Salary - Impact Teachers'!B81</f>
        <v>19253.52</v>
      </c>
    </row>
    <row r="122" spans="1:6" ht="17" x14ac:dyDescent="0.2">
      <c r="A122" s="28" t="s">
        <v>108</v>
      </c>
      <c r="B122" s="30">
        <f>19178</f>
        <v>19178</v>
      </c>
      <c r="C122" s="30">
        <f>19178</f>
        <v>19178</v>
      </c>
      <c r="D122" s="30">
        <f t="shared" si="3"/>
        <v>0</v>
      </c>
      <c r="F122" s="38">
        <v>0</v>
      </c>
    </row>
    <row r="123" spans="1:6" ht="17" x14ac:dyDescent="0.2">
      <c r="A123" s="28" t="s">
        <v>109</v>
      </c>
      <c r="B123" s="30">
        <f>13563.5</f>
        <v>13563.5</v>
      </c>
      <c r="C123" s="30">
        <f>13563</f>
        <v>13563</v>
      </c>
      <c r="D123" s="30">
        <f t="shared" si="3"/>
        <v>0.5</v>
      </c>
      <c r="F123" s="30">
        <v>15240</v>
      </c>
    </row>
    <row r="124" spans="1:6" ht="17" x14ac:dyDescent="0.2">
      <c r="A124" s="28" t="s">
        <v>101</v>
      </c>
      <c r="B124" s="29"/>
      <c r="C124" s="30">
        <f>15000</f>
        <v>15000</v>
      </c>
      <c r="D124" s="30">
        <f t="shared" si="3"/>
        <v>-15000</v>
      </c>
      <c r="F124" s="38">
        <v>0</v>
      </c>
    </row>
    <row r="125" spans="1:6" ht="17" x14ac:dyDescent="0.2">
      <c r="A125" s="28" t="s">
        <v>110</v>
      </c>
      <c r="B125" s="29"/>
      <c r="C125" s="30">
        <f>2500</f>
        <v>2500</v>
      </c>
      <c r="D125" s="30">
        <f t="shared" si="3"/>
        <v>-2500</v>
      </c>
      <c r="F125" s="38">
        <v>0</v>
      </c>
    </row>
    <row r="126" spans="1:6" ht="17" x14ac:dyDescent="0.2">
      <c r="A126" s="28" t="s">
        <v>111</v>
      </c>
      <c r="B126" s="31">
        <f>((((((((B117)+(B118))+(B119))+(B120))+(B121))+(B122))+(B123))+(B124))+(B125)</f>
        <v>188619.07</v>
      </c>
      <c r="C126" s="31">
        <f>((((((((C117)+(C118))+(C119))+(C120))+(C121))+(C122))+(C123))+(C124))+(C125)</f>
        <v>216653</v>
      </c>
      <c r="D126" s="31">
        <f t="shared" si="3"/>
        <v>-28033.929999999993</v>
      </c>
      <c r="F126" s="32">
        <f>SUM(F118:F125)</f>
        <v>119435.52</v>
      </c>
    </row>
    <row r="127" spans="1:6" ht="17" x14ac:dyDescent="0.2">
      <c r="A127" s="28" t="s">
        <v>112</v>
      </c>
      <c r="B127" s="31">
        <f>((((((((B52)+(B54))+(B88))+(B92))+(B98))+(B103))+(B109))+(B116))+(B126)</f>
        <v>366148.32</v>
      </c>
      <c r="C127" s="31">
        <f>((((((((C52)+(C54))+(C88))+(C92))+(C98))+(C103))+(C109))+(C116))+(C126)</f>
        <v>432877</v>
      </c>
      <c r="D127" s="31">
        <f t="shared" si="3"/>
        <v>-66728.679999999993</v>
      </c>
      <c r="F127" s="32">
        <f>F126+F116+F109+F103+F98+F88+F92+F52+F54+F75</f>
        <v>247891.08833333335</v>
      </c>
    </row>
    <row r="128" spans="1:6" ht="17" x14ac:dyDescent="0.2">
      <c r="A128" s="28" t="s">
        <v>113</v>
      </c>
      <c r="B128" s="31">
        <f>(B42)-(B127)</f>
        <v>-92646.97000000003</v>
      </c>
      <c r="C128" s="31">
        <f>(C42)-(C127)</f>
        <v>-70873</v>
      </c>
      <c r="D128" s="31">
        <f t="shared" si="3"/>
        <v>-21773.97000000003</v>
      </c>
      <c r="F128" s="39">
        <f>F42-F127</f>
        <v>-46521.13333333336</v>
      </c>
    </row>
    <row r="129" spans="1:6" ht="17" x14ac:dyDescent="0.2">
      <c r="A129" s="28" t="s">
        <v>114</v>
      </c>
      <c r="B129" s="32">
        <f>(B128)+(0)</f>
        <v>-92646.97000000003</v>
      </c>
      <c r="C129" s="32">
        <f>(C128)+(0)</f>
        <v>-70873</v>
      </c>
      <c r="D129" s="32">
        <f t="shared" si="3"/>
        <v>-21773.97000000003</v>
      </c>
      <c r="F129" s="32">
        <f>F128</f>
        <v>-46521.13333333336</v>
      </c>
    </row>
    <row r="130" spans="1:6" x14ac:dyDescent="0.2">
      <c r="A130" s="28"/>
      <c r="B130" s="29"/>
      <c r="C130" s="29"/>
      <c r="D130" s="29"/>
    </row>
  </sheetData>
  <mergeCells count="2">
    <mergeCell ref="A1:F1"/>
    <mergeCell ref="A2:F2"/>
  </mergeCells>
  <phoneticPr fontId="8" type="noConversion"/>
  <pageMargins left="0.75" right="0.75" top="1" bottom="1" header="0.5" footer="0.5"/>
  <pageSetup scale="63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9"/>
  <sheetViews>
    <sheetView zoomScale="125" zoomScaleNormal="125" zoomScalePageLayoutView="125" workbookViewId="0">
      <selection activeCell="B23" sqref="B23"/>
    </sheetView>
  </sheetViews>
  <sheetFormatPr baseColWidth="10" defaultRowHeight="15" x14ac:dyDescent="0.2"/>
  <cols>
    <col min="2" max="2" width="40.6640625" customWidth="1"/>
    <col min="3" max="3" width="15.83203125" customWidth="1"/>
    <col min="4" max="4" width="12.5" style="2" bestFit="1" customWidth="1"/>
    <col min="5" max="5" width="36.33203125" style="1" customWidth="1"/>
  </cols>
  <sheetData>
    <row r="2" spans="1:5" x14ac:dyDescent="0.2">
      <c r="A2" t="s">
        <v>208</v>
      </c>
      <c r="D2" s="2">
        <f>'Cash Flow 5.18.20'!D34</f>
        <v>165397</v>
      </c>
      <c r="E2"/>
    </row>
    <row r="4" spans="1:5" x14ac:dyDescent="0.2">
      <c r="A4" t="s">
        <v>209</v>
      </c>
      <c r="D4" s="3">
        <f>'2020-2021 Budget'!F41</f>
        <v>201369.95499999999</v>
      </c>
      <c r="E4"/>
    </row>
    <row r="5" spans="1:5" x14ac:dyDescent="0.2">
      <c r="E5"/>
    </row>
    <row r="6" spans="1:5" x14ac:dyDescent="0.2">
      <c r="A6" t="s">
        <v>118</v>
      </c>
      <c r="D6" s="2">
        <f>SUM(D2:D5)</f>
        <v>366766.95499999996</v>
      </c>
      <c r="E6"/>
    </row>
    <row r="9" spans="1:5" x14ac:dyDescent="0.2">
      <c r="A9" t="s">
        <v>119</v>
      </c>
    </row>
    <row r="10" spans="1:5" x14ac:dyDescent="0.2">
      <c r="A10" t="s">
        <v>176</v>
      </c>
      <c r="D10" s="2">
        <f>'2020-2021 Budget'!F52</f>
        <v>4355</v>
      </c>
    </row>
    <row r="11" spans="1:5" x14ac:dyDescent="0.2">
      <c r="A11" t="s">
        <v>177</v>
      </c>
      <c r="D11" s="2">
        <f>'2020-2021 Budget'!F54</f>
        <v>1750</v>
      </c>
    </row>
    <row r="12" spans="1:5" x14ac:dyDescent="0.2">
      <c r="A12" t="s">
        <v>178</v>
      </c>
      <c r="D12" s="2">
        <f>'2020-2021 Budget'!F59</f>
        <v>2209.54</v>
      </c>
    </row>
    <row r="13" spans="1:5" x14ac:dyDescent="0.2">
      <c r="A13" t="s">
        <v>179</v>
      </c>
      <c r="D13" s="2">
        <f>'2020-2021 Budget'!F73</f>
        <v>29956.294999999998</v>
      </c>
    </row>
    <row r="14" spans="1:5" x14ac:dyDescent="0.2">
      <c r="A14" t="s">
        <v>180</v>
      </c>
      <c r="D14" s="2">
        <f>'2020-2021 Budget'!F87</f>
        <v>25501</v>
      </c>
    </row>
    <row r="15" spans="1:5" x14ac:dyDescent="0.2">
      <c r="A15" t="s">
        <v>189</v>
      </c>
      <c r="D15" s="2">
        <f>'2020-2021 Budget'!F103+'2020-2021 Budget'!F75</f>
        <v>650</v>
      </c>
    </row>
    <row r="16" spans="1:5" ht="16" x14ac:dyDescent="0.2">
      <c r="A16" s="23" t="s">
        <v>145</v>
      </c>
      <c r="B16" s="23"/>
      <c r="C16" s="23"/>
      <c r="D16" s="24">
        <f>'2020-2021 Budget'!F90</f>
        <v>13809</v>
      </c>
      <c r="E16" s="1" t="s">
        <v>196</v>
      </c>
    </row>
    <row r="17" spans="1:5" x14ac:dyDescent="0.2">
      <c r="A17" s="23" t="s">
        <v>181</v>
      </c>
      <c r="B17" s="23"/>
      <c r="C17" s="23"/>
      <c r="D17" s="24">
        <f>'2020-2021 Budget'!F91</f>
        <v>9319</v>
      </c>
    </row>
    <row r="18" spans="1:5" x14ac:dyDescent="0.2">
      <c r="A18" s="23" t="s">
        <v>182</v>
      </c>
      <c r="B18" s="23"/>
      <c r="C18" s="23"/>
      <c r="D18" s="24">
        <f>'2020-2021 Budget'!F98</f>
        <v>1606</v>
      </c>
      <c r="E18" t="s">
        <v>202</v>
      </c>
    </row>
    <row r="19" spans="1:5" ht="16" x14ac:dyDescent="0.2">
      <c r="A19" s="23" t="s">
        <v>183</v>
      </c>
      <c r="B19" s="23"/>
      <c r="C19" s="23"/>
      <c r="D19" s="24">
        <f>'2020-2021 Budget'!F109</f>
        <v>7700</v>
      </c>
      <c r="E19" s="1" t="s">
        <v>200</v>
      </c>
    </row>
    <row r="20" spans="1:5" x14ac:dyDescent="0.2">
      <c r="A20" s="23" t="s">
        <v>184</v>
      </c>
      <c r="B20" s="23"/>
      <c r="C20" s="23"/>
      <c r="D20" s="24">
        <f>'2020-2021 Budget'!F113+'2020-2021 Budget'!F114</f>
        <v>14611.333333333334</v>
      </c>
      <c r="E20" t="s">
        <v>190</v>
      </c>
    </row>
    <row r="21" spans="1:5" x14ac:dyDescent="0.2">
      <c r="A21" s="23" t="s">
        <v>150</v>
      </c>
      <c r="B21" s="23"/>
      <c r="C21" s="23"/>
      <c r="D21" s="24">
        <f>'2020-2021 Budget'!F112</f>
        <v>16988.400000000001</v>
      </c>
      <c r="E21" t="s">
        <v>185</v>
      </c>
    </row>
    <row r="22" spans="1:5" x14ac:dyDescent="0.2">
      <c r="A22" s="23" t="s">
        <v>152</v>
      </c>
      <c r="B22" s="23"/>
      <c r="C22" s="23"/>
      <c r="D22" s="24">
        <f>'2020-2021 Budget'!F123+'2020-2021 Budget'!F124</f>
        <v>15240</v>
      </c>
      <c r="E22" t="s">
        <v>195</v>
      </c>
    </row>
    <row r="23" spans="1:5" x14ac:dyDescent="0.2">
      <c r="A23" s="23" t="s">
        <v>147</v>
      </c>
      <c r="B23" s="23"/>
      <c r="C23" s="23"/>
      <c r="D23" s="24">
        <f>'2020-2021 Budget'!F122</f>
        <v>0</v>
      </c>
      <c r="E23" t="s">
        <v>194</v>
      </c>
    </row>
    <row r="24" spans="1:5" ht="16" x14ac:dyDescent="0.2">
      <c r="A24" s="23" t="s">
        <v>186</v>
      </c>
      <c r="B24" s="23"/>
      <c r="C24" s="23"/>
      <c r="D24" s="24">
        <f>'2020-2021 Budget'!F120</f>
        <v>84942</v>
      </c>
      <c r="E24" s="1" t="s">
        <v>187</v>
      </c>
    </row>
    <row r="25" spans="1:5" ht="16" x14ac:dyDescent="0.2">
      <c r="A25" s="23" t="s">
        <v>201</v>
      </c>
      <c r="B25" s="23"/>
      <c r="C25" s="23"/>
      <c r="D25" s="24">
        <f>'2020-2021 Budget'!F121</f>
        <v>19253.52</v>
      </c>
      <c r="E25" s="1" t="s">
        <v>199</v>
      </c>
    </row>
    <row r="27" spans="1:5" x14ac:dyDescent="0.2">
      <c r="D27" s="2">
        <f>SUM(D10:D26)</f>
        <v>247891.08833333332</v>
      </c>
    </row>
    <row r="29" spans="1:5" x14ac:dyDescent="0.2">
      <c r="A29" t="s">
        <v>188</v>
      </c>
      <c r="D29" s="2">
        <f>D6-D27</f>
        <v>118875.86666666664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 5.18.20</vt:lpstr>
      <vt:lpstr>Salary - Impact Teachers</vt:lpstr>
      <vt:lpstr>2020-2021 Budget</vt:lpstr>
      <vt:lpstr>High Level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 grant</cp:lastModifiedBy>
  <cp:lastPrinted>2020-06-02T04:35:37Z</cp:lastPrinted>
  <dcterms:created xsi:type="dcterms:W3CDTF">2020-05-19T01:40:26Z</dcterms:created>
  <dcterms:modified xsi:type="dcterms:W3CDTF">2020-06-05T22:44:47Z</dcterms:modified>
</cp:coreProperties>
</file>